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usLafer\neoom international gmbh\neoom - 07_neoom APP\KLUUB\2. Kommunikation - Marketing\7. Kalkulatoren\"/>
    </mc:Choice>
  </mc:AlternateContent>
  <xr:revisionPtr revIDLastSave="0" documentId="8_{3499CD3B-F3B8-44BF-84B1-D41DA0EB5322}" xr6:coauthVersionLast="47" xr6:coauthVersionMax="47" xr10:uidLastSave="{00000000-0000-0000-0000-000000000000}"/>
  <bookViews>
    <workbookView xWindow="-120" yWindow="-120" windowWidth="29040" windowHeight="15720" xr2:uid="{147EB03E-3014-452D-A1FA-0C13C03D1A68}"/>
  </bookViews>
  <sheets>
    <sheet name="EEG_Vorteil_2026" sheetId="12" r:id="rId1"/>
    <sheet name="EEG_Details_2026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1" l="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46" i="11"/>
  <c r="C11" i="12"/>
  <c r="I43" i="12"/>
  <c r="J43" i="12" s="1"/>
  <c r="I42" i="12"/>
  <c r="J42" i="12" s="1"/>
  <c r="I41" i="12"/>
  <c r="J41" i="12" s="1"/>
  <c r="I40" i="12"/>
  <c r="J40" i="12" s="1"/>
  <c r="I39" i="12"/>
  <c r="J39" i="12" s="1"/>
  <c r="I38" i="12"/>
  <c r="J38" i="12" s="1"/>
  <c r="I37" i="12"/>
  <c r="J37" i="12" s="1"/>
  <c r="I36" i="12"/>
  <c r="J36" i="12" s="1"/>
  <c r="I35" i="12"/>
  <c r="J35" i="12" s="1"/>
  <c r="I34" i="12"/>
  <c r="J34" i="12" s="1"/>
  <c r="I33" i="12"/>
  <c r="J33" i="12" s="1"/>
  <c r="I32" i="12"/>
  <c r="J32" i="12" s="1"/>
  <c r="I31" i="12"/>
  <c r="J31" i="12" s="1"/>
  <c r="C12" i="11"/>
  <c r="I45" i="11"/>
  <c r="J45" i="11" s="1"/>
  <c r="I44" i="11"/>
  <c r="J44" i="11" s="1"/>
  <c r="I43" i="11"/>
  <c r="J43" i="11" s="1"/>
  <c r="I42" i="11"/>
  <c r="J42" i="11" s="1"/>
  <c r="J41" i="11"/>
  <c r="I41" i="11"/>
  <c r="I40" i="11"/>
  <c r="J40" i="11" s="1"/>
  <c r="I39" i="11"/>
  <c r="I38" i="11"/>
  <c r="I37" i="11"/>
  <c r="I36" i="11"/>
  <c r="I35" i="11"/>
  <c r="I34" i="11"/>
  <c r="I33" i="11"/>
  <c r="C10" i="12" l="1"/>
  <c r="G24" i="12" s="1"/>
  <c r="J34" i="11"/>
  <c r="J35" i="11"/>
  <c r="J37" i="11"/>
  <c r="C11" i="11" s="1"/>
  <c r="J38" i="11"/>
  <c r="J36" i="11"/>
  <c r="J39" i="11"/>
  <c r="J33" i="11"/>
  <c r="G15" i="12"/>
  <c r="G20" i="12"/>
  <c r="E43" i="12"/>
  <c r="G23" i="12"/>
  <c r="G22" i="12"/>
  <c r="G21" i="12"/>
  <c r="G16" i="12"/>
  <c r="F16" i="12"/>
  <c r="F15" i="12"/>
  <c r="H10" i="12"/>
  <c r="F22" i="12" s="1"/>
  <c r="H8" i="12"/>
  <c r="H9" i="12" s="1"/>
  <c r="F21" i="12" s="1"/>
  <c r="E45" i="11"/>
  <c r="G24" i="11"/>
  <c r="G23" i="11"/>
  <c r="G22" i="11"/>
  <c r="G17" i="11"/>
  <c r="F17" i="11"/>
  <c r="F16" i="11"/>
  <c r="H11" i="11"/>
  <c r="F22" i="11"/>
  <c r="H9" i="11"/>
  <c r="H17" i="11" l="1"/>
  <c r="H22" i="12"/>
  <c r="H21" i="12"/>
  <c r="H16" i="12"/>
  <c r="H22" i="11"/>
  <c r="F24" i="11"/>
  <c r="H24" i="11" s="1"/>
  <c r="G25" i="11"/>
  <c r="G21" i="11"/>
  <c r="G16" i="11"/>
  <c r="H16" i="11" s="1"/>
  <c r="F20" i="12"/>
  <c r="H15" i="12"/>
  <c r="H11" i="12"/>
  <c r="F24" i="12"/>
  <c r="F23" i="12"/>
  <c r="H23" i="12" s="1"/>
  <c r="F25" i="11"/>
  <c r="F21" i="11"/>
  <c r="H12" i="11"/>
  <c r="F23" i="11"/>
  <c r="H23" i="11" s="1"/>
  <c r="H25" i="11" l="1"/>
  <c r="H17" i="12"/>
  <c r="H18" i="11"/>
  <c r="H21" i="11"/>
  <c r="H24" i="12"/>
  <c r="H20" i="12"/>
  <c r="E33" i="12"/>
  <c r="E32" i="12"/>
  <c r="E31" i="12"/>
  <c r="E35" i="11"/>
  <c r="E34" i="11"/>
  <c r="E33" i="11"/>
  <c r="E36" i="11" l="1"/>
  <c r="H26" i="11" s="1"/>
  <c r="H27" i="11" s="1"/>
  <c r="H28" i="11" s="1"/>
  <c r="E34" i="12"/>
  <c r="H25" i="12" s="1"/>
  <c r="H26" i="12" s="1"/>
  <c r="H27" i="12" s="1"/>
</calcChain>
</file>

<file path=xl/sharedStrings.xml><?xml version="1.0" encoding="utf-8"?>
<sst xmlns="http://schemas.openxmlformats.org/spreadsheetml/2006/main" count="223" uniqueCount="111">
  <si>
    <t>kWh</t>
  </si>
  <si>
    <t>Cent/kWh</t>
  </si>
  <si>
    <t>Bis</t>
  </si>
  <si>
    <t>Kosten</t>
  </si>
  <si>
    <t>€/Quartal</t>
  </si>
  <si>
    <t xml:space="preserve">SUMME: </t>
  </si>
  <si>
    <t>ab Teilnehmer</t>
  </si>
  <si>
    <t xml:space="preserve">Von </t>
  </si>
  <si>
    <t>Netzgebiet</t>
  </si>
  <si>
    <t>Graz</t>
  </si>
  <si>
    <t>Innsbruck</t>
  </si>
  <si>
    <t>Kärnten</t>
  </si>
  <si>
    <t>Burgenland</t>
  </si>
  <si>
    <t>Klagenfurt</t>
  </si>
  <si>
    <t>Linz</t>
  </si>
  <si>
    <t>Niederösterreich</t>
  </si>
  <si>
    <t>Oberösterreich</t>
  </si>
  <si>
    <t>Salzburg</t>
  </si>
  <si>
    <t>Steiermark</t>
  </si>
  <si>
    <t>Vorarlberg</t>
  </si>
  <si>
    <t>Wien</t>
  </si>
  <si>
    <t>Servicebeitrag je kWh (Summe aus Einspeisung und Bezug):</t>
  </si>
  <si>
    <t>Bezug vom Netz</t>
  </si>
  <si>
    <t xml:space="preserve">Anleitung: 
in </t>
  </si>
  <si>
    <t>EINGABE-FELD</t>
  </si>
  <si>
    <t>1) Einspeise/Bezugs-Mengen anpassen</t>
  </si>
  <si>
    <t>2) Preise für Bezug und Einspeisung anpassen</t>
  </si>
  <si>
    <t>3) Netzgebiet auswählen (gelbes Auswahlfeld)</t>
  </si>
  <si>
    <t>Anzahl Standorte</t>
  </si>
  <si>
    <t>Bitte für Berechnung eigene Daten einpflegen!</t>
  </si>
  <si>
    <t>Standard-Bezugstarif</t>
  </si>
  <si>
    <t>Einspeisetarif z.B. ÖMAG</t>
  </si>
  <si>
    <t>KLUUB EEG -Tarif</t>
  </si>
  <si>
    <t>Netzkostenersparnis in:</t>
  </si>
  <si>
    <t>ct/kWh</t>
  </si>
  <si>
    <t>€</t>
  </si>
  <si>
    <t>Betriebskosten / Quartal &amp; Standort</t>
  </si>
  <si>
    <t>neoom KLUUB EEG-Kalkulator für Gemeinden und Firmenverbände</t>
  </si>
  <si>
    <t>Überschuss PV-Anlage(n)</t>
  </si>
  <si>
    <t>Stromkosten reiner Netzbezug</t>
  </si>
  <si>
    <t>Tarife und Netz (Netto)</t>
  </si>
  <si>
    <t>Std-Netz-Tarif ohne EEG</t>
  </si>
  <si>
    <t>Wert inkl. UST</t>
  </si>
  <si>
    <t>Energiemenge</t>
  </si>
  <si>
    <t>Erlöse aus ÖMAG Einspeisung</t>
  </si>
  <si>
    <t>Summe EEG-Anteil (Einspeisen&amp;Bezug)</t>
  </si>
  <si>
    <t>Rest-Netzbezug (Verbrauch - Eigennutzung - Fremd-EEG-Anteil)</t>
  </si>
  <si>
    <t>Ersparnis durch EEG</t>
  </si>
  <si>
    <t>Summe Stromkosten ohne EEG</t>
  </si>
  <si>
    <t>Summe Stromkosten mit EEG</t>
  </si>
  <si>
    <t>Stromkosten ohne EEG</t>
  </si>
  <si>
    <t>Stromkosten mit EEG</t>
  </si>
  <si>
    <t>Kosten für Strom aus EEG von externen Mitgliedern</t>
  </si>
  <si>
    <t>Erlöse für  Strom aus EEG von Mitgliedern</t>
  </si>
  <si>
    <t>Erlöse für ÖMAG Rest-Einspeisung</t>
  </si>
  <si>
    <t>Eigennutzung intern durch EEG</t>
  </si>
  <si>
    <t>5) Gesamt-Teilnehmer-Zahl EEG &amp; eigene
   Standorte einstellen</t>
  </si>
  <si>
    <t xml:space="preserve">    Standorte einstellen.</t>
  </si>
  <si>
    <t>Bezug von EEG-Mitglieder</t>
  </si>
  <si>
    <t>Lieferung an EEG-Mitglieder</t>
  </si>
  <si>
    <t xml:space="preserve">4) EEG-Anteil variieren: </t>
  </si>
  <si>
    <t>Eigennutzung ca. 60-75%, Bezug extern: 10-30%</t>
  </si>
  <si>
    <t xml:space="preserve">für Teilnehmer mit Überschuss &lt;&lt; Verbrauch: </t>
  </si>
  <si>
    <t xml:space="preserve">für Teilnehmer mit Überschuss &gt;&gt; Verbrauch: </t>
  </si>
  <si>
    <t>Eigennutzung ca. 20-40%, an EEG-Mitgl.: 20-50%</t>
  </si>
  <si>
    <t>EEG-Teilnehmer: ≥ 10</t>
  </si>
  <si>
    <t>Cent</t>
  </si>
  <si>
    <t xml:space="preserve">  Überschuss von Fremdanlagen</t>
  </si>
  <si>
    <t xml:space="preserve">  Überschuss an ext. Teilnehmer</t>
  </si>
  <si>
    <t xml:space="preserve">  Überschuss von eigenen Anlagen </t>
  </si>
  <si>
    <t>** mit Netzkostenersparnis</t>
  </si>
  <si>
    <t>Netzgebühren für EEG Bezugs-Anteil</t>
  </si>
  <si>
    <t>neoom KLUUB Betriebs-&amp; Servicekosten</t>
  </si>
  <si>
    <t xml:space="preserve">  Bezug Überschuss von eigenen Anlagen </t>
  </si>
  <si>
    <t xml:space="preserve">  Bezug Überschuss von Fremdanlagen</t>
  </si>
  <si>
    <t>Reduzierte Netzgebühren für EEG Bezugs-Anteil</t>
  </si>
  <si>
    <t xml:space="preserve">Tirol </t>
  </si>
  <si>
    <t>Preis/kWh**</t>
  </si>
  <si>
    <t>Cent/kWh*</t>
  </si>
  <si>
    <t>*Preise: Netto</t>
  </si>
  <si>
    <t>*Preis Netto</t>
  </si>
  <si>
    <t>Preis/kWh **</t>
  </si>
  <si>
    <t>** Preis inkl. Steuer und Netzgebühren und Elektrizitätsabgabe</t>
  </si>
  <si>
    <t>Video zur Bedienung des Kalkulators</t>
  </si>
  <si>
    <t xml:space="preserve">Ich suche eine passende EG in meiner Region: </t>
  </si>
  <si>
    <t xml:space="preserve">Für die Suche einer EG in Deiner Region bitte in der APP registrieren und Deinen Standort und Zählpunkte in der APP eingeben: </t>
  </si>
  <si>
    <t>app.neoom.com</t>
  </si>
  <si>
    <t>Einblick auf eine Karte über die verfügbaren neoom-EGs unter:</t>
  </si>
  <si>
    <t>https://neoom.com/produkte/app/kluub#karte</t>
  </si>
  <si>
    <t>https://www.youtube.com/playlist?list=PL3qdefEcGLAmZjl1VvCzxRULtSCNv9lJ4</t>
  </si>
  <si>
    <t>Weiterführende Informationen:</t>
  </si>
  <si>
    <t>neoom KLUUB - allgemeine Informationen zur Energiegemeinschaft</t>
  </si>
  <si>
    <t>neoom KLUUB - Wie funktioniert die Aufteilung des Stroms</t>
  </si>
  <si>
    <t>neoom KLUUB - Schritt für Schritt zu Ihrer Energiegemeinschaft</t>
  </si>
  <si>
    <t>neoom KLUUB - Erklärung des Tarifblattes</t>
  </si>
  <si>
    <t xml:space="preserve">Ich möchte für meine Region aktiv werden: </t>
  </si>
  <si>
    <t xml:space="preserve">Unterstützungsmaterialien (Zeitungsartikel, Grafiken, Flyer) zur weiteren Verwendung! </t>
  </si>
  <si>
    <t>https://neoom.com/partner-downloads-kluub</t>
  </si>
  <si>
    <t>Netznutzungsengtelt</t>
  </si>
  <si>
    <t>Kostenreduktion durch EG Teilnahme (Netto)</t>
  </si>
  <si>
    <t>- 28% Netznutzungs
-entgelt</t>
  </si>
  <si>
    <t>Std-Netzentgelt ohne EEG</t>
  </si>
  <si>
    <r>
      <t xml:space="preserve">Youtube Videos als Hilfestellung für die </t>
    </r>
    <r>
      <rPr>
        <b/>
        <sz val="11"/>
        <color theme="1"/>
        <rFont val="Titillium Web"/>
      </rPr>
      <t xml:space="preserve">Registrierung </t>
    </r>
    <r>
      <rPr>
        <sz val="11"/>
        <color theme="1"/>
        <rFont val="Titillium Web"/>
      </rPr>
      <t xml:space="preserve">im </t>
    </r>
    <r>
      <rPr>
        <b/>
        <sz val="11"/>
        <color theme="1"/>
        <rFont val="Titillium Web"/>
      </rPr>
      <t xml:space="preserve">KLUUB </t>
    </r>
  </si>
  <si>
    <t>Wenn Du in Deiner Region aktiv werden willst um weitere Personen für die Energiegemeinschaften zu begeistern, haben wir hier</t>
  </si>
  <si>
    <t>**Die tatsächlichen Netzkosten liegen inkl. Netzverlustentgelt und Grundgebühren höher! Zum Kostenvergleich mit der Energiegemeinschaftsteilnahme sind diese jedoch nicht relevant und werden deshalb vereinfacht in der Kalkulation nicht mitgerechnet.</t>
  </si>
  <si>
    <t xml:space="preserve">Nach der Bekanntgabe der Zählpunktnummer wirst Du nach einer kurzen Wartezeit durch die Nahbereichsabfrage einer passenden EG </t>
  </si>
  <si>
    <t>in der Region zugewiesen. Erst danach kannst Du Dich verbindlich durch die Annahme der Stromverträge anmelden.</t>
  </si>
  <si>
    <t>Elektrizitätsabgabe &amp;
Erneuerbaren-Förderb.</t>
  </si>
  <si>
    <t>Elektrizitätsabgabe &amp;
Erneuerbaren-Förderb</t>
  </si>
  <si>
    <t xml:space="preserve">EEG-Teilnehmer: </t>
  </si>
  <si>
    <t>Rev.16, 01_2026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</si>
</sst>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-&quot;€&quot;\ * #,##0.000_-;\-&quot;€&quot;\ * #,##0.000_-;_-&quot;€&quot;\ * &quot;-&quot;??_-;_-@_-"/>
    <numFmt numFmtId="167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tillium Web Regular"/>
    </font>
    <font>
      <sz val="11"/>
      <color rgb="FF3C3C3C"/>
      <name val="Titillium Web Regular"/>
    </font>
    <font>
      <sz val="10"/>
      <color rgb="FF3C3C3C"/>
      <name val="Titillium Web Regular"/>
    </font>
    <font>
      <sz val="11"/>
      <color rgb="FF3C3C3C"/>
      <name val="Titillium Web SemiBold"/>
    </font>
    <font>
      <sz val="11"/>
      <color rgb="FF3C3C3C"/>
      <name val="Titillium Web Bold"/>
    </font>
    <font>
      <sz val="16"/>
      <color rgb="FF3C3C3C"/>
      <name val="Titillium Web Regular"/>
    </font>
    <font>
      <sz val="16"/>
      <color theme="1"/>
      <name val="Titillium Web Regular"/>
    </font>
    <font>
      <sz val="12"/>
      <color rgb="FF3C3C3C"/>
      <name val="Titillium Web Regular"/>
    </font>
    <font>
      <sz val="11"/>
      <color rgb="FF96C446"/>
      <name val="Titillium Web Regular"/>
    </font>
    <font>
      <sz val="12"/>
      <color theme="1"/>
      <name val="Titillium Web Regular"/>
    </font>
    <font>
      <sz val="11"/>
      <color theme="1"/>
      <name val="Titillium Web SemiBold"/>
    </font>
    <font>
      <sz val="10"/>
      <color rgb="FF3C3C3C"/>
      <name val="Titillium Web SemiBold"/>
    </font>
    <font>
      <sz val="14"/>
      <color rgb="FF3C3C3C"/>
      <name val="Titillium Web SemiBold"/>
    </font>
    <font>
      <sz val="11"/>
      <color rgb="FFEB5032"/>
      <name val="Titillium Web Regular"/>
    </font>
    <font>
      <sz val="11"/>
      <color rgb="FF00B050"/>
      <name val="Titillium Web Regular"/>
    </font>
    <font>
      <b/>
      <sz val="14"/>
      <color rgb="FF3C3C3C"/>
      <name val="Titillium Web SemiBold"/>
    </font>
    <font>
      <sz val="9"/>
      <color theme="1"/>
      <name val="Titillium Web Regula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FF0000"/>
      <name val="Titillium Web"/>
    </font>
    <font>
      <sz val="9"/>
      <color theme="1"/>
      <name val="Titillium Web"/>
    </font>
    <font>
      <b/>
      <sz val="9"/>
      <color rgb="FF3C3C3C"/>
      <name val="Titillium Web"/>
    </font>
    <font>
      <sz val="9"/>
      <color rgb="FF3C3C3C"/>
      <name val="Titillium Web"/>
    </font>
    <font>
      <b/>
      <sz val="9"/>
      <color rgb="FFFF0000"/>
      <name val="Titillium Web"/>
    </font>
    <font>
      <b/>
      <sz val="11"/>
      <color theme="1"/>
      <name val="Titillium Web"/>
    </font>
    <font>
      <sz val="11"/>
      <color theme="1"/>
      <name val="Titillium Web"/>
    </font>
    <font>
      <sz val="11"/>
      <color rgb="FF3C3C3C"/>
      <name val="Titillium Web"/>
    </font>
    <font>
      <b/>
      <sz val="11"/>
      <color rgb="FFFF0000"/>
      <name val="Titillium Web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FE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CF3DE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theme="1"/>
      </bottom>
      <diagonal/>
    </border>
    <border>
      <left/>
      <right/>
      <top style="medium">
        <color rgb="FF002060"/>
      </top>
      <bottom style="thin">
        <color theme="1"/>
      </bottom>
      <diagonal/>
    </border>
    <border>
      <left style="medium">
        <color rgb="FF002060"/>
      </left>
      <right/>
      <top style="thin">
        <color theme="1"/>
      </top>
      <bottom style="thin">
        <color theme="1"/>
      </bottom>
      <diagonal/>
    </border>
    <border>
      <left/>
      <right style="medium">
        <color rgb="FF002060"/>
      </right>
      <top style="thin">
        <color theme="1"/>
      </top>
      <bottom style="thin">
        <color theme="1"/>
      </bottom>
      <diagonal/>
    </border>
    <border>
      <left style="medium">
        <color rgb="FF002060"/>
      </left>
      <right/>
      <top style="thin">
        <color theme="1"/>
      </top>
      <bottom style="medium">
        <color rgb="FF002060"/>
      </bottom>
      <diagonal/>
    </border>
    <border>
      <left/>
      <right/>
      <top style="thin">
        <color theme="1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theme="1"/>
      </bottom>
      <diagonal/>
    </border>
    <border>
      <left style="medium">
        <color rgb="FF002060"/>
      </left>
      <right style="medium">
        <color rgb="FF002060"/>
      </right>
      <top style="thin">
        <color theme="1"/>
      </top>
      <bottom style="thin">
        <color theme="1"/>
      </bottom>
      <diagonal/>
    </border>
    <border>
      <left style="medium">
        <color rgb="FF002060"/>
      </left>
      <right style="medium">
        <color rgb="FF002060"/>
      </right>
      <top style="thin">
        <color theme="1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thin">
        <color theme="1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/>
      <top/>
      <bottom style="thin">
        <color theme="1"/>
      </bottom>
      <diagonal/>
    </border>
    <border>
      <left/>
      <right style="medium">
        <color rgb="FF002060"/>
      </right>
      <top/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rgb="FFEB5032"/>
      </right>
      <top style="thin">
        <color indexed="64"/>
      </top>
      <bottom style="thin">
        <color indexed="64"/>
      </bottom>
      <diagonal/>
    </border>
    <border>
      <left style="medium">
        <color rgb="FFEB5032"/>
      </left>
      <right style="medium">
        <color rgb="FFEB5032"/>
      </right>
      <top/>
      <bottom style="medium">
        <color rgb="FFEB5032"/>
      </bottom>
      <diagonal/>
    </border>
    <border>
      <left style="medium">
        <color rgb="FFEB5032"/>
      </left>
      <right style="medium">
        <color rgb="FFEB5032"/>
      </right>
      <top style="medium">
        <color rgb="FFEB5032"/>
      </top>
      <bottom style="medium">
        <color rgb="FFEB5032"/>
      </bottom>
      <diagonal/>
    </border>
    <border>
      <left style="medium">
        <color theme="1"/>
      </left>
      <right style="medium">
        <color theme="1"/>
      </right>
      <top style="medium">
        <color rgb="FFEB5032"/>
      </top>
      <bottom style="medium">
        <color theme="1"/>
      </bottom>
      <diagonal/>
    </border>
    <border>
      <left style="medium">
        <color rgb="FFEB5032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rgb="FFEB5032"/>
      </left>
      <right/>
      <top style="medium">
        <color rgb="FFEB5032"/>
      </top>
      <bottom/>
      <diagonal/>
    </border>
    <border>
      <left/>
      <right style="medium">
        <color rgb="FFEB5032"/>
      </right>
      <top style="medium">
        <color theme="1"/>
      </top>
      <bottom style="medium">
        <color theme="1"/>
      </bottom>
      <diagonal/>
    </border>
    <border>
      <left/>
      <right style="medium">
        <color rgb="FFEB5032"/>
      </right>
      <top/>
      <bottom style="medium">
        <color theme="1"/>
      </bottom>
      <diagonal/>
    </border>
    <border>
      <left style="thin">
        <color indexed="64"/>
      </left>
      <right style="medium">
        <color rgb="FFEB5032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rgb="FF3C3C3C"/>
      </top>
      <bottom/>
      <diagonal/>
    </border>
    <border>
      <left style="thin">
        <color indexed="64"/>
      </left>
      <right style="medium">
        <color indexed="64"/>
      </right>
      <top style="medium">
        <color rgb="FF3C3C3C"/>
      </top>
      <bottom style="medium">
        <color rgb="FFEB5032"/>
      </bottom>
      <diagonal/>
    </border>
    <border>
      <left style="medium">
        <color theme="1"/>
      </left>
      <right style="medium">
        <color theme="1"/>
      </right>
      <top/>
      <bottom style="medium">
        <color rgb="FFEB5032"/>
      </bottom>
      <diagonal/>
    </border>
    <border>
      <left/>
      <right/>
      <top/>
      <bottom style="medium">
        <color rgb="FF3C3C3C"/>
      </bottom>
      <diagonal/>
    </border>
    <border>
      <left style="medium">
        <color theme="1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medium">
        <color rgb="FFEB5032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rgb="FFEB5032"/>
      </bottom>
      <diagonal/>
    </border>
    <border>
      <left style="medium">
        <color rgb="FFEB5032"/>
      </left>
      <right style="medium">
        <color theme="1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1"/>
      </right>
      <top style="medium">
        <color rgb="FFEB5032"/>
      </top>
      <bottom/>
      <diagonal/>
    </border>
    <border>
      <left style="medium">
        <color indexed="64"/>
      </left>
      <right/>
      <top style="thin">
        <color theme="1"/>
      </top>
      <bottom style="medium">
        <color rgb="FF3C3C3C"/>
      </bottom>
      <diagonal/>
    </border>
    <border>
      <left/>
      <right/>
      <top style="thin">
        <color theme="1"/>
      </top>
      <bottom style="medium">
        <color rgb="FF3C3C3C"/>
      </bottom>
      <diagonal/>
    </border>
    <border>
      <left/>
      <right style="medium">
        <color indexed="64"/>
      </right>
      <top style="thin">
        <color theme="1"/>
      </top>
      <bottom style="medium">
        <color rgb="FF3C3C3C"/>
      </bottom>
      <diagonal/>
    </border>
    <border>
      <left/>
      <right style="medium">
        <color rgb="FFEB5032"/>
      </right>
      <top/>
      <bottom/>
      <diagonal/>
    </border>
    <border>
      <left style="medium">
        <color rgb="FFEB5032"/>
      </left>
      <right style="medium">
        <color rgb="FFEB5032"/>
      </right>
      <top style="medium">
        <color rgb="FFFF0000"/>
      </top>
      <bottom style="medium">
        <color rgb="FFEB5032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EB5032"/>
      </left>
      <right/>
      <top style="medium">
        <color rgb="FFFF0000"/>
      </top>
      <bottom style="medium">
        <color rgb="FFEB5032"/>
      </bottom>
      <diagonal/>
    </border>
    <border>
      <left/>
      <right/>
      <top style="medium">
        <color rgb="FFFF0000"/>
      </top>
      <bottom style="medium">
        <color rgb="FFEB5032"/>
      </bottom>
      <diagonal/>
    </border>
    <border>
      <left/>
      <right style="medium">
        <color rgb="FFFF0000"/>
      </right>
      <top style="medium">
        <color rgb="FFFF0000"/>
      </top>
      <bottom style="medium">
        <color rgb="FFEB503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05">
    <xf numFmtId="0" fontId="0" fillId="0" borderId="0" xfId="0"/>
    <xf numFmtId="164" fontId="4" fillId="0" borderId="18" xfId="2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3" borderId="6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0" borderId="57" xfId="0" applyFont="1" applyBorder="1" applyAlignment="1" applyProtection="1">
      <alignment horizontal="left" vertical="center"/>
      <protection locked="0"/>
    </xf>
    <xf numFmtId="165" fontId="3" fillId="0" borderId="54" xfId="1" applyNumberFormat="1" applyFont="1" applyFill="1" applyBorder="1" applyAlignment="1" applyProtection="1">
      <alignment horizontal="center" vertical="center"/>
      <protection locked="0"/>
    </xf>
    <xf numFmtId="165" fontId="3" fillId="0" borderId="53" xfId="1" applyNumberFormat="1" applyFont="1" applyFill="1" applyBorder="1" applyAlignment="1" applyProtection="1">
      <alignment horizontal="center" vertical="center"/>
      <protection locked="0"/>
    </xf>
    <xf numFmtId="165" fontId="3" fillId="0" borderId="68" xfId="1" applyNumberFormat="1" applyFont="1" applyFill="1" applyBorder="1" applyAlignment="1" applyProtection="1">
      <alignment horizontal="center" vertical="center"/>
    </xf>
    <xf numFmtId="165" fontId="3" fillId="0" borderId="50" xfId="1" applyNumberFormat="1" applyFont="1" applyFill="1" applyBorder="1" applyAlignment="1" applyProtection="1">
      <alignment horizontal="center" vertical="center"/>
    </xf>
    <xf numFmtId="165" fontId="5" fillId="5" borderId="24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2" fillId="0" borderId="64" xfId="0" applyFont="1" applyBorder="1" applyAlignment="1">
      <alignment vertical="center"/>
    </xf>
    <xf numFmtId="9" fontId="9" fillId="0" borderId="67" xfId="3" applyFont="1" applyBorder="1" applyAlignment="1">
      <alignment horizontal="center" vertical="center"/>
    </xf>
    <xf numFmtId="0" fontId="3" fillId="0" borderId="6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5" fillId="3" borderId="15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27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165" fontId="3" fillId="0" borderId="31" xfId="0" applyNumberFormat="1" applyFont="1" applyBorder="1" applyAlignment="1">
      <alignment vertical="center"/>
    </xf>
    <xf numFmtId="164" fontId="3" fillId="0" borderId="32" xfId="2" applyFont="1" applyBorder="1" applyAlignment="1">
      <alignment vertical="center"/>
    </xf>
    <xf numFmtId="165" fontId="3" fillId="0" borderId="33" xfId="0" applyNumberFormat="1" applyFont="1" applyBorder="1" applyAlignment="1">
      <alignment vertical="center"/>
    </xf>
    <xf numFmtId="165" fontId="10" fillId="0" borderId="44" xfId="0" applyNumberFormat="1" applyFont="1" applyBorder="1" applyAlignment="1">
      <alignment vertical="center"/>
    </xf>
    <xf numFmtId="0" fontId="5" fillId="5" borderId="31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164" fontId="5" fillId="5" borderId="28" xfId="0" applyNumberFormat="1" applyFont="1" applyFill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11" fillId="0" borderId="45" xfId="0" applyNumberFormat="1" applyFont="1" applyBorder="1" applyAlignment="1">
      <alignment vertical="center"/>
    </xf>
    <xf numFmtId="0" fontId="5" fillId="3" borderId="31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165" fontId="3" fillId="0" borderId="38" xfId="0" applyNumberFormat="1" applyFont="1" applyBorder="1" applyAlignment="1">
      <alignment vertical="center"/>
    </xf>
    <xf numFmtId="164" fontId="3" fillId="0" borderId="38" xfId="2" applyFont="1" applyBorder="1" applyAlignment="1">
      <alignment vertical="center"/>
    </xf>
    <xf numFmtId="165" fontId="3" fillId="0" borderId="39" xfId="0" applyNumberFormat="1" applyFont="1" applyBorder="1" applyAlignment="1">
      <alignment vertical="center"/>
    </xf>
    <xf numFmtId="164" fontId="3" fillId="0" borderId="39" xfId="2" applyFont="1" applyBorder="1" applyAlignment="1">
      <alignment vertical="center"/>
    </xf>
    <xf numFmtId="164" fontId="10" fillId="0" borderId="39" xfId="2" applyFont="1" applyBorder="1" applyAlignment="1">
      <alignment vertical="center"/>
    </xf>
    <xf numFmtId="165" fontId="3" fillId="0" borderId="40" xfId="0" applyNumberFormat="1" applyFont="1" applyBorder="1" applyAlignment="1">
      <alignment vertical="center"/>
    </xf>
    <xf numFmtId="164" fontId="3" fillId="0" borderId="40" xfId="2" applyFont="1" applyBorder="1" applyAlignment="1">
      <alignment vertical="center"/>
    </xf>
    <xf numFmtId="164" fontId="5" fillId="0" borderId="28" xfId="2" applyFont="1" applyBorder="1" applyAlignment="1">
      <alignment vertical="center"/>
    </xf>
    <xf numFmtId="0" fontId="5" fillId="5" borderId="33" xfId="0" applyFont="1" applyFill="1" applyBorder="1" applyAlignment="1">
      <alignment horizontal="left" vertical="center"/>
    </xf>
    <xf numFmtId="0" fontId="5" fillId="5" borderId="34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5" fillId="3" borderId="4" xfId="0" applyFont="1" applyFill="1" applyBorder="1" applyAlignment="1">
      <alignment vertical="center"/>
    </xf>
    <xf numFmtId="3" fontId="4" fillId="0" borderId="6" xfId="0" quotePrefix="1" applyNumberFormat="1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166" fontId="4" fillId="0" borderId="1" xfId="2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5" borderId="1" xfId="0" applyFont="1" applyFill="1" applyBorder="1" applyAlignment="1">
      <alignment horizontal="right" vertical="center"/>
    </xf>
    <xf numFmtId="164" fontId="5" fillId="5" borderId="18" xfId="2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164" fontId="13" fillId="2" borderId="1" xfId="2" applyFont="1" applyFill="1" applyBorder="1" applyAlignment="1">
      <alignment horizontal="center" vertical="center"/>
    </xf>
    <xf numFmtId="164" fontId="13" fillId="2" borderId="3" xfId="2" applyFont="1" applyFill="1" applyBorder="1" applyAlignment="1">
      <alignment horizontal="center" vertical="center"/>
    </xf>
    <xf numFmtId="164" fontId="13" fillId="2" borderId="10" xfId="2" applyFont="1" applyFill="1" applyBorder="1" applyAlignment="1">
      <alignment horizontal="center" vertical="center"/>
    </xf>
    <xf numFmtId="9" fontId="3" fillId="0" borderId="54" xfId="3" applyFont="1" applyFill="1" applyBorder="1" applyAlignment="1" applyProtection="1">
      <alignment horizontal="center" vertical="center"/>
      <protection locked="0"/>
    </xf>
    <xf numFmtId="9" fontId="3" fillId="0" borderId="53" xfId="3" applyFont="1" applyFill="1" applyBorder="1" applyAlignment="1" applyProtection="1">
      <alignment horizontal="center" vertical="center"/>
      <protection locked="0"/>
    </xf>
    <xf numFmtId="1" fontId="3" fillId="0" borderId="53" xfId="0" applyNumberFormat="1" applyFont="1" applyBorder="1" applyAlignment="1" applyProtection="1">
      <alignment horizontal="center" vertical="center"/>
      <protection locked="0"/>
    </xf>
    <xf numFmtId="167" fontId="3" fillId="0" borderId="56" xfId="1" applyNumberFormat="1" applyFont="1" applyFill="1" applyBorder="1" applyAlignment="1">
      <alignment horizontal="center" vertical="center"/>
    </xf>
    <xf numFmtId="164" fontId="17" fillId="5" borderId="28" xfId="0" applyNumberFormat="1" applyFont="1" applyFill="1" applyBorder="1" applyAlignment="1">
      <alignment vertical="center"/>
    </xf>
    <xf numFmtId="0" fontId="5" fillId="0" borderId="4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9" fontId="3" fillId="0" borderId="74" xfId="3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3" fontId="3" fillId="0" borderId="39" xfId="1" applyFont="1" applyBorder="1" applyAlignment="1">
      <alignment vertical="center"/>
    </xf>
    <xf numFmtId="43" fontId="3" fillId="0" borderId="40" xfId="0" applyNumberFormat="1" applyFont="1" applyBorder="1" applyAlignment="1">
      <alignment vertical="center"/>
    </xf>
    <xf numFmtId="2" fontId="3" fillId="0" borderId="29" xfId="0" applyNumberFormat="1" applyFont="1" applyBorder="1" applyAlignment="1">
      <alignment horizontal="right" vertical="center"/>
    </xf>
    <xf numFmtId="2" fontId="3" fillId="0" borderId="31" xfId="0" applyNumberFormat="1" applyFont="1" applyBorder="1" applyAlignment="1">
      <alignment horizontal="right" vertical="center"/>
    </xf>
    <xf numFmtId="2" fontId="3" fillId="0" borderId="33" xfId="0" applyNumberFormat="1" applyFont="1" applyBorder="1" applyAlignment="1">
      <alignment horizontal="right" vertical="center"/>
    </xf>
    <xf numFmtId="167" fontId="3" fillId="0" borderId="16" xfId="0" applyNumberFormat="1" applyFont="1" applyBorder="1" applyAlignment="1">
      <alignment horizontal="center" vertical="center"/>
    </xf>
    <xf numFmtId="2" fontId="16" fillId="0" borderId="53" xfId="0" applyNumberFormat="1" applyFont="1" applyBorder="1" applyAlignment="1" applyProtection="1">
      <alignment horizontal="center" vertical="center"/>
      <protection locked="0"/>
    </xf>
    <xf numFmtId="2" fontId="23" fillId="0" borderId="76" xfId="0" applyNumberFormat="1" applyFont="1" applyBorder="1" applyAlignment="1" applyProtection="1">
      <alignment horizontal="center"/>
      <protection locked="0"/>
    </xf>
    <xf numFmtId="2" fontId="23" fillId="0" borderId="78" xfId="0" applyNumberFormat="1" applyFont="1" applyBorder="1" applyAlignment="1" applyProtection="1">
      <alignment horizontal="center"/>
      <protection locked="0"/>
    </xf>
    <xf numFmtId="2" fontId="23" fillId="0" borderId="79" xfId="0" applyNumberFormat="1" applyFont="1" applyBorder="1" applyAlignment="1" applyProtection="1">
      <alignment horizontal="center"/>
      <protection locked="0"/>
    </xf>
    <xf numFmtId="0" fontId="12" fillId="3" borderId="2" xfId="0" applyFont="1" applyFill="1" applyBorder="1" applyAlignment="1">
      <alignment horizontal="left" vertical="center"/>
    </xf>
    <xf numFmtId="0" fontId="22" fillId="0" borderId="80" xfId="0" applyFont="1" applyBorder="1" applyAlignment="1" applyProtection="1">
      <alignment horizontal="center" vertical="center"/>
      <protection locked="0"/>
    </xf>
    <xf numFmtId="0" fontId="22" fillId="0" borderId="81" xfId="0" applyFont="1" applyBorder="1" applyAlignment="1" applyProtection="1">
      <alignment horizontal="center" vertical="center"/>
      <protection locked="0"/>
    </xf>
    <xf numFmtId="0" fontId="22" fillId="0" borderId="77" xfId="0" applyFont="1" applyBorder="1" applyAlignment="1" applyProtection="1">
      <alignment horizontal="center" vertical="center"/>
      <protection locked="0"/>
    </xf>
    <xf numFmtId="0" fontId="22" fillId="0" borderId="82" xfId="0" applyFont="1" applyBorder="1" applyAlignment="1" applyProtection="1">
      <alignment horizontal="center" vertical="center"/>
      <protection locked="0"/>
    </xf>
    <xf numFmtId="2" fontId="15" fillId="0" borderId="54" xfId="0" applyNumberFormat="1" applyFont="1" applyBorder="1" applyAlignment="1" applyProtection="1">
      <alignment horizontal="center" vertical="center"/>
      <protection locked="0"/>
    </xf>
    <xf numFmtId="2" fontId="3" fillId="0" borderId="53" xfId="0" applyNumberFormat="1" applyFont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 indent="1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2" fillId="3" borderId="0" xfId="0" applyFont="1" applyFill="1"/>
    <xf numFmtId="0" fontId="24" fillId="3" borderId="86" xfId="0" applyFont="1" applyFill="1" applyBorder="1" applyAlignment="1">
      <alignment horizontal="center" vertical="center"/>
    </xf>
    <xf numFmtId="0" fontId="22" fillId="0" borderId="19" xfId="0" applyFont="1" applyBorder="1" applyAlignment="1" applyProtection="1">
      <alignment horizontal="center" vertical="center"/>
      <protection locked="0"/>
    </xf>
    <xf numFmtId="2" fontId="24" fillId="0" borderId="76" xfId="0" applyNumberFormat="1" applyFont="1" applyBorder="1" applyAlignment="1" applyProtection="1">
      <alignment horizontal="center"/>
      <protection locked="0"/>
    </xf>
    <xf numFmtId="2" fontId="24" fillId="0" borderId="78" xfId="0" applyNumberFormat="1" applyFont="1" applyBorder="1" applyAlignment="1" applyProtection="1">
      <alignment horizontal="center"/>
      <protection locked="0"/>
    </xf>
    <xf numFmtId="2" fontId="23" fillId="0" borderId="87" xfId="0" applyNumberFormat="1" applyFont="1" applyBorder="1" applyAlignment="1" applyProtection="1">
      <alignment horizontal="center"/>
      <protection locked="0"/>
    </xf>
    <xf numFmtId="2" fontId="24" fillId="0" borderId="79" xfId="0" applyNumberFormat="1" applyFont="1" applyBorder="1" applyAlignment="1" applyProtection="1">
      <alignment horizontal="center"/>
      <protection locked="0"/>
    </xf>
    <xf numFmtId="2" fontId="23" fillId="0" borderId="88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0" fontId="14" fillId="0" borderId="4" xfId="0" applyFont="1" applyBorder="1" applyAlignment="1">
      <alignment vertical="center" wrapText="1"/>
    </xf>
    <xf numFmtId="0" fontId="5" fillId="0" borderId="90" xfId="0" applyFont="1" applyBorder="1" applyAlignment="1">
      <alignment vertical="center"/>
    </xf>
    <xf numFmtId="0" fontId="5" fillId="0" borderId="91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9" xfId="0" applyFont="1" applyBorder="1" applyAlignment="1">
      <alignment vertical="center"/>
    </xf>
    <xf numFmtId="0" fontId="5" fillId="0" borderId="85" xfId="0" applyFont="1" applyBorder="1" applyAlignment="1">
      <alignment vertical="center"/>
    </xf>
    <xf numFmtId="0" fontId="0" fillId="0" borderId="92" xfId="0" applyBorder="1" applyAlignment="1">
      <alignment vertical="center"/>
    </xf>
    <xf numFmtId="0" fontId="26" fillId="3" borderId="0" xfId="0" applyFont="1" applyFill="1"/>
    <xf numFmtId="0" fontId="27" fillId="3" borderId="0" xfId="0" applyFont="1" applyFill="1"/>
    <xf numFmtId="0" fontId="27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3" borderId="0" xfId="0" applyFont="1" applyFill="1" applyAlignment="1">
      <alignment vertical="center"/>
    </xf>
    <xf numFmtId="0" fontId="28" fillId="3" borderId="0" xfId="0" applyFont="1" applyFill="1" applyAlignment="1">
      <alignment horizontal="left" vertical="center" indent="1"/>
    </xf>
    <xf numFmtId="0" fontId="29" fillId="3" borderId="0" xfId="0" applyFont="1" applyFill="1" applyAlignment="1">
      <alignment horizontal="left" vertical="center"/>
    </xf>
    <xf numFmtId="0" fontId="29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5" fillId="0" borderId="5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0" borderId="0" xfId="4" applyFill="1" applyProtection="1">
      <protection locked="0"/>
    </xf>
    <xf numFmtId="0" fontId="21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18" fillId="0" borderId="1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46" xfId="0" applyFont="1" applyBorder="1" applyAlignment="1">
      <alignment horizontal="right" vertical="center"/>
    </xf>
    <xf numFmtId="0" fontId="3" fillId="0" borderId="75" xfId="0" applyFont="1" applyBorder="1" applyAlignment="1">
      <alignment horizontal="right" vertical="center"/>
    </xf>
    <xf numFmtId="0" fontId="5" fillId="5" borderId="47" xfId="0" applyFont="1" applyFill="1" applyBorder="1" applyAlignment="1">
      <alignment horizontal="center" vertical="center"/>
    </xf>
    <xf numFmtId="0" fontId="30" fillId="3" borderId="0" xfId="4" applyFont="1" applyFill="1" applyAlignment="1" applyProtection="1">
      <alignment horizontal="left"/>
      <protection locked="0"/>
    </xf>
    <xf numFmtId="0" fontId="9" fillId="6" borderId="93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5" fillId="0" borderId="9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1" xfId="0" applyFont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83" xfId="0" applyFont="1" applyFill="1" applyBorder="1" applyAlignment="1">
      <alignment horizontal="center" vertical="center"/>
    </xf>
    <xf numFmtId="0" fontId="24" fillId="3" borderId="84" xfId="0" applyFont="1" applyFill="1" applyBorder="1" applyAlignment="1">
      <alignment horizontal="center" vertical="center"/>
    </xf>
    <xf numFmtId="0" fontId="24" fillId="3" borderId="85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 wrapText="1"/>
    </xf>
    <xf numFmtId="0" fontId="24" fillId="3" borderId="79" xfId="0" applyFont="1" applyFill="1" applyBorder="1" applyAlignment="1">
      <alignment horizontal="center" vertical="center"/>
    </xf>
    <xf numFmtId="0" fontId="24" fillId="3" borderId="20" xfId="0" quotePrefix="1" applyFont="1" applyFill="1" applyBorder="1" applyAlignment="1">
      <alignment horizontal="center" vertical="center" wrapText="1"/>
    </xf>
    <xf numFmtId="0" fontId="24" fillId="3" borderId="79" xfId="0" quotePrefix="1" applyFont="1" applyFill="1" applyBorder="1" applyAlignment="1">
      <alignment horizontal="center" vertical="center" wrapText="1"/>
    </xf>
    <xf numFmtId="0" fontId="24" fillId="3" borderId="79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5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2" fontId="23" fillId="0" borderId="96" xfId="0" applyNumberFormat="1" applyFont="1" applyBorder="1" applyAlignment="1" applyProtection="1">
      <alignment horizontal="center"/>
      <protection locked="0"/>
    </xf>
    <xf numFmtId="2" fontId="23" fillId="0" borderId="97" xfId="0" applyNumberFormat="1" applyFont="1" applyBorder="1" applyAlignment="1" applyProtection="1">
      <alignment horizontal="center"/>
      <protection locked="0"/>
    </xf>
    <xf numFmtId="2" fontId="23" fillId="0" borderId="84" xfId="0" applyNumberFormat="1" applyFont="1" applyBorder="1" applyAlignment="1" applyProtection="1">
      <alignment horizontal="center"/>
      <protection locked="0"/>
    </xf>
    <xf numFmtId="2" fontId="24" fillId="0" borderId="98" xfId="0" applyNumberFormat="1" applyFont="1" applyBorder="1" applyAlignment="1" applyProtection="1">
      <alignment horizontal="center"/>
      <protection locked="0"/>
    </xf>
    <xf numFmtId="2" fontId="24" fillId="0" borderId="99" xfId="0" applyNumberFormat="1" applyFont="1" applyBorder="1" applyAlignment="1" applyProtection="1">
      <alignment horizontal="center"/>
      <protection locked="0"/>
    </xf>
    <xf numFmtId="2" fontId="24" fillId="0" borderId="85" xfId="0" applyNumberFormat="1" applyFont="1" applyBorder="1" applyAlignment="1" applyProtection="1">
      <alignment horizontal="center"/>
      <protection locked="0"/>
    </xf>
    <xf numFmtId="0" fontId="24" fillId="3" borderId="20" xfId="0" applyFont="1" applyFill="1" applyBorder="1" applyAlignment="1">
      <alignment horizontal="center" vertical="center"/>
    </xf>
    <xf numFmtId="2" fontId="24" fillId="0" borderId="87" xfId="0" applyNumberFormat="1" applyFont="1" applyBorder="1" applyAlignment="1" applyProtection="1">
      <alignment horizontal="center"/>
      <protection locked="0"/>
    </xf>
    <xf numFmtId="2" fontId="24" fillId="0" borderId="88" xfId="0" applyNumberFormat="1" applyFont="1" applyBorder="1" applyAlignment="1" applyProtection="1">
      <alignment horizontal="center"/>
      <protection locked="0"/>
    </xf>
  </cellXfs>
  <cellStyles count="5">
    <cellStyle name="Komma" xfId="1" builtinId="3"/>
    <cellStyle name="Link" xfId="4" builtinId="8"/>
    <cellStyle name="Prozent" xfId="3" builtinId="5"/>
    <cellStyle name="Standard" xfId="0" builtinId="0"/>
    <cellStyle name="Währung" xfId="2" builtinId="4"/>
  </cellStyles>
  <dxfs count="4">
    <dxf>
      <font>
        <color rgb="FF9C57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FEA"/>
      <color rgb="FF3C3C3C"/>
      <color rgb="FFECF3DE"/>
      <color rgb="FFF2F2F2"/>
      <color rgb="FFEB5032"/>
      <color rgb="FFD0D9C2"/>
      <color rgb="FF96C446"/>
      <color rgb="FFB2B2B2"/>
      <color rgb="FF00000D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59390</xdr:colOff>
      <xdr:row>1</xdr:row>
      <xdr:rowOff>94129</xdr:rowOff>
    </xdr:from>
    <xdr:to>
      <xdr:col>1</xdr:col>
      <xdr:colOff>571500</xdr:colOff>
      <xdr:row>1</xdr:row>
      <xdr:rowOff>376990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285B26B-DC2B-466F-921C-D2584E5C1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0" y="408454"/>
          <a:ext cx="512110" cy="282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59390</xdr:colOff>
      <xdr:row>1</xdr:row>
      <xdr:rowOff>94129</xdr:rowOff>
    </xdr:from>
    <xdr:to>
      <xdr:col>1</xdr:col>
      <xdr:colOff>571500</xdr:colOff>
      <xdr:row>1</xdr:row>
      <xdr:rowOff>376990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7C44C9-2F51-4DD7-B121-8B35B165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0" y="408454"/>
          <a:ext cx="512110" cy="279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neoom.com/kluub" TargetMode="External"/><Relationship Id="rId3" Type="http://schemas.openxmlformats.org/officeDocument/2006/relationships/hyperlink" Target="https://neoom.com/loesungen-eeg" TargetMode="External"/><Relationship Id="rId7" Type="http://schemas.openxmlformats.org/officeDocument/2006/relationships/hyperlink" Target="https://neoom.com/partner-downloads-kluub" TargetMode="External"/><Relationship Id="rId2" Type="http://schemas.openxmlformats.org/officeDocument/2006/relationships/hyperlink" Target="https://neoom.com/produkte/app/kluub" TargetMode="External"/><Relationship Id="rId1" Type="http://schemas.openxmlformats.org/officeDocument/2006/relationships/hyperlink" Target="https://tinyurl.com/3xz333b6" TargetMode="External"/><Relationship Id="rId6" Type="http://schemas.openxmlformats.org/officeDocument/2006/relationships/hyperlink" Target="https://wissen.neoom.com/erklaerung-des-tarifblatte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issen.neoom.com/schritt-fuer-schritt-anleitung-kluub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issen.neoom.com/stromlieferung-und-verteilung" TargetMode="External"/><Relationship Id="rId9" Type="http://schemas.openxmlformats.org/officeDocument/2006/relationships/hyperlink" Target="https://www.youtube.com/playlist?list=PL3qdefEcGLAmZjl1VvCzxRULtSCNv9lJ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playlist?list=PL3qdefEcGLAmZjl1VvCzxRULtSCNv9lJ4" TargetMode="External"/><Relationship Id="rId3" Type="http://schemas.openxmlformats.org/officeDocument/2006/relationships/hyperlink" Target="https://wissen.neoom.com/stromlieferung-und-verteilung" TargetMode="External"/><Relationship Id="rId7" Type="http://schemas.openxmlformats.org/officeDocument/2006/relationships/hyperlink" Target="https://app.neoom.com/kluub" TargetMode="External"/><Relationship Id="rId2" Type="http://schemas.openxmlformats.org/officeDocument/2006/relationships/hyperlink" Target="https://neoom.com/loesungen-eeg" TargetMode="External"/><Relationship Id="rId1" Type="http://schemas.openxmlformats.org/officeDocument/2006/relationships/hyperlink" Target="https://neoom.com/produkte/app/kluub" TargetMode="External"/><Relationship Id="rId6" Type="http://schemas.openxmlformats.org/officeDocument/2006/relationships/hyperlink" Target="https://neoom.com/partner-downloads-kluub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issen.neoom.com/erklaerung-des-tarifblattes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issen.neoom.com/schritt-fuer-schritt-anleitung-kluub" TargetMode="External"/><Relationship Id="rId9" Type="http://schemas.openxmlformats.org/officeDocument/2006/relationships/hyperlink" Target="https://tinyurl.com/3xz333b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88F9-C41F-4CF0-BA07-0A9F60702B57}">
  <sheetPr>
    <pageSetUpPr fitToPage="1"/>
  </sheetPr>
  <dimension ref="A1:P73"/>
  <sheetViews>
    <sheetView showGridLines="0" tabSelected="1" zoomScaleNormal="100" workbookViewId="0">
      <selection activeCell="B50" sqref="B50"/>
    </sheetView>
  </sheetViews>
  <sheetFormatPr baseColWidth="10" defaultColWidth="10.42578125" defaultRowHeight="15" x14ac:dyDescent="0.25"/>
  <cols>
    <col min="1" max="1" width="3.42578125" style="14" customWidth="1"/>
    <col min="2" max="2" width="25.85546875" style="14" customWidth="1"/>
    <col min="3" max="3" width="11.28515625" style="14" bestFit="1" customWidth="1"/>
    <col min="4" max="4" width="10.7109375" style="14" bestFit="1" customWidth="1"/>
    <col min="5" max="5" width="18.5703125" style="14" customWidth="1"/>
    <col min="6" max="6" width="14.42578125" style="14" customWidth="1"/>
    <col min="7" max="7" width="13.28515625" style="14" bestFit="1" customWidth="1"/>
    <col min="8" max="8" width="19.7109375" style="14" bestFit="1" customWidth="1"/>
    <col min="9" max="9" width="17.7109375" style="14" customWidth="1"/>
    <col min="10" max="10" width="19.42578125" style="14" customWidth="1"/>
    <col min="11" max="11" width="16.28515625" style="14" customWidth="1"/>
    <col min="12" max="12" width="17.28515625" style="14" customWidth="1"/>
    <col min="13" max="13" width="13" style="14" customWidth="1"/>
    <col min="14" max="14" width="14.42578125" style="14" customWidth="1"/>
    <col min="15" max="17" width="16.42578125" style="14" customWidth="1"/>
    <col min="18" max="16384" width="10.42578125" style="14"/>
  </cols>
  <sheetData>
    <row r="1" spans="1:16" ht="7.5" customHeight="1" x14ac:dyDescent="0.2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87" customHeight="1" thickBot="1" x14ac:dyDescent="0.3">
      <c r="A2" s="5"/>
      <c r="B2" s="160" t="s">
        <v>37</v>
      </c>
      <c r="C2" s="161"/>
      <c r="D2" s="161"/>
      <c r="E2" s="161"/>
      <c r="F2" s="161"/>
      <c r="G2" s="161"/>
      <c r="H2" s="161"/>
      <c r="I2" s="5"/>
      <c r="J2" s="5"/>
      <c r="K2" s="5"/>
      <c r="L2" s="5"/>
      <c r="M2" s="5"/>
      <c r="N2" s="5"/>
      <c r="O2" s="5"/>
      <c r="P2" s="5"/>
    </row>
    <row r="3" spans="1:16" ht="27.75" thickBot="1" x14ac:dyDescent="0.3">
      <c r="A3" s="5"/>
      <c r="B3" s="13" t="s">
        <v>40</v>
      </c>
      <c r="C3" s="7" t="s">
        <v>78</v>
      </c>
      <c r="D3" s="5"/>
      <c r="E3" s="162" t="s">
        <v>83</v>
      </c>
      <c r="F3" s="162"/>
      <c r="G3" s="162"/>
      <c r="H3" s="12"/>
      <c r="I3" s="5"/>
      <c r="J3" s="5"/>
      <c r="K3" s="5"/>
      <c r="L3" s="5"/>
      <c r="M3" s="5"/>
      <c r="N3" s="5"/>
      <c r="O3" s="5"/>
      <c r="P3" s="5"/>
    </row>
    <row r="4" spans="1:16" ht="31.5" customHeight="1" thickBot="1" x14ac:dyDescent="0.45">
      <c r="A4" s="5"/>
      <c r="B4" s="8" t="s">
        <v>30</v>
      </c>
      <c r="C4" s="125">
        <v>10.74</v>
      </c>
      <c r="D4" s="5"/>
      <c r="E4" s="163"/>
      <c r="F4" s="163"/>
      <c r="G4" s="5"/>
      <c r="H4" s="24"/>
      <c r="I4" s="5"/>
      <c r="J4" s="5"/>
      <c r="K4" s="5"/>
      <c r="L4" s="5"/>
      <c r="M4" s="5"/>
      <c r="N4" s="5"/>
      <c r="O4" s="5"/>
      <c r="P4" s="5"/>
    </row>
    <row r="5" spans="1:16" ht="31.5" customHeight="1" thickBot="1" x14ac:dyDescent="0.3">
      <c r="A5" s="5"/>
      <c r="B5" s="8" t="s">
        <v>31</v>
      </c>
      <c r="C5" s="116">
        <v>5.9</v>
      </c>
      <c r="D5" s="5"/>
      <c r="E5" s="6"/>
      <c r="F5" s="5"/>
      <c r="G5" s="5"/>
      <c r="H5" s="15" t="s">
        <v>0</v>
      </c>
      <c r="I5" s="5"/>
      <c r="J5" s="5"/>
      <c r="K5" s="5"/>
      <c r="L5" s="5"/>
      <c r="M5" s="5"/>
      <c r="N5" s="5"/>
      <c r="O5" s="5"/>
      <c r="P5" s="5"/>
    </row>
    <row r="6" spans="1:16" ht="31.5" customHeight="1" thickBot="1" x14ac:dyDescent="0.3">
      <c r="A6" s="5"/>
      <c r="B6" s="8" t="s">
        <v>32</v>
      </c>
      <c r="C6" s="126">
        <v>10</v>
      </c>
      <c r="D6" s="5"/>
      <c r="E6" s="164" t="s">
        <v>38</v>
      </c>
      <c r="F6" s="165"/>
      <c r="G6" s="166"/>
      <c r="H6" s="18">
        <v>81166</v>
      </c>
      <c r="I6" s="5"/>
      <c r="J6" s="5"/>
      <c r="K6" s="5"/>
      <c r="L6" s="5"/>
      <c r="M6" s="5"/>
      <c r="N6" s="5"/>
      <c r="O6" s="5"/>
      <c r="P6" s="5"/>
    </row>
    <row r="7" spans="1:16" ht="31.5" customHeight="1" thickBot="1" x14ac:dyDescent="0.3">
      <c r="A7" s="5"/>
      <c r="B7" s="8" t="s">
        <v>65</v>
      </c>
      <c r="C7" s="101">
        <v>100</v>
      </c>
      <c r="D7" s="5"/>
      <c r="E7" s="156" t="s">
        <v>22</v>
      </c>
      <c r="F7" s="157"/>
      <c r="G7" s="158"/>
      <c r="H7" s="19">
        <v>220626</v>
      </c>
      <c r="I7" s="5"/>
      <c r="J7" s="5"/>
      <c r="K7" s="5"/>
      <c r="L7" s="5"/>
      <c r="M7" s="5"/>
      <c r="N7" s="5"/>
      <c r="O7" s="5"/>
      <c r="P7" s="5"/>
    </row>
    <row r="8" spans="1:16" ht="15.75" customHeight="1" thickBot="1" x14ac:dyDescent="0.3">
      <c r="A8" s="5"/>
      <c r="B8" s="8" t="s">
        <v>28</v>
      </c>
      <c r="C8" s="101">
        <v>16</v>
      </c>
      <c r="D8" s="5"/>
      <c r="E8" s="29" t="s">
        <v>55</v>
      </c>
      <c r="F8" s="30"/>
      <c r="G8" s="107">
        <v>0.51700000000000002</v>
      </c>
      <c r="H8" s="20">
        <f>G8*H6</f>
        <v>41962.822</v>
      </c>
      <c r="I8" s="167" t="s">
        <v>73</v>
      </c>
      <c r="J8" s="168"/>
      <c r="K8" s="5"/>
      <c r="L8" s="5"/>
      <c r="M8" s="5"/>
      <c r="N8" s="5"/>
      <c r="O8" s="5"/>
      <c r="P8" s="5"/>
    </row>
    <row r="9" spans="1:16" ht="15.75" customHeight="1" thickBot="1" x14ac:dyDescent="0.3">
      <c r="A9" s="5"/>
      <c r="B9" s="31" t="s">
        <v>33</v>
      </c>
      <c r="C9" s="32" t="s">
        <v>34</v>
      </c>
      <c r="D9" s="5"/>
      <c r="E9" s="33" t="s">
        <v>58</v>
      </c>
      <c r="F9" s="34"/>
      <c r="G9" s="99">
        <v>0.625</v>
      </c>
      <c r="H9" s="21">
        <f>(H7-H8)*G9</f>
        <v>111664.48625000002</v>
      </c>
      <c r="I9" s="169" t="s">
        <v>74</v>
      </c>
      <c r="J9" s="168"/>
      <c r="K9" s="5"/>
      <c r="L9" s="5"/>
      <c r="M9" s="5"/>
      <c r="N9" s="5"/>
      <c r="O9" s="5"/>
      <c r="P9" s="5"/>
    </row>
    <row r="10" spans="1:16" ht="20.25" thickBot="1" x14ac:dyDescent="0.3">
      <c r="A10" s="5"/>
      <c r="B10" s="17" t="s">
        <v>18</v>
      </c>
      <c r="C10" s="102">
        <f>VLOOKUP(B10,F31:J43,5)</f>
        <v>3.8696000000000002</v>
      </c>
      <c r="D10" s="5"/>
      <c r="E10" s="33" t="s">
        <v>59</v>
      </c>
      <c r="F10" s="34"/>
      <c r="G10" s="100">
        <v>0.11</v>
      </c>
      <c r="H10" s="21">
        <f>H6*G10</f>
        <v>8928.26</v>
      </c>
      <c r="I10" s="167" t="s">
        <v>68</v>
      </c>
      <c r="J10" s="168"/>
      <c r="K10" s="5"/>
      <c r="L10" s="5"/>
      <c r="M10" s="5"/>
      <c r="N10" s="5"/>
      <c r="O10" s="5"/>
      <c r="P10" s="5"/>
    </row>
    <row r="11" spans="1:16" ht="20.25" thickBot="1" x14ac:dyDescent="0.3">
      <c r="A11" s="5"/>
      <c r="B11" s="35" t="s">
        <v>41</v>
      </c>
      <c r="C11" s="109">
        <f>VLOOKUP(B10,F31:J43,2)</f>
        <v>8.82</v>
      </c>
      <c r="D11" s="5"/>
      <c r="E11" s="36" t="s">
        <v>45</v>
      </c>
      <c r="F11" s="37"/>
      <c r="G11" s="38"/>
      <c r="H11" s="22">
        <f>2*H8+H10+H9</f>
        <v>204518.39025</v>
      </c>
      <c r="I11" s="5"/>
      <c r="J11" s="5"/>
      <c r="K11" s="5"/>
      <c r="L11" s="5"/>
      <c r="M11" s="5"/>
      <c r="N11" s="5"/>
      <c r="O11" s="5"/>
      <c r="P11" s="5"/>
    </row>
    <row r="12" spans="1:16" ht="20.25" thickBot="1" x14ac:dyDescent="0.3">
      <c r="A12" s="5"/>
      <c r="B12" s="5" t="s">
        <v>80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20.25" thickBot="1" x14ac:dyDescent="0.3">
      <c r="A13" s="5"/>
      <c r="B13" s="170" t="s">
        <v>82</v>
      </c>
      <c r="C13" s="170"/>
      <c r="D13" s="170"/>
      <c r="E13" s="171"/>
      <c r="F13" s="39" t="s">
        <v>43</v>
      </c>
      <c r="G13" s="40" t="s">
        <v>81</v>
      </c>
      <c r="H13" s="41" t="s">
        <v>42</v>
      </c>
      <c r="I13" s="5"/>
      <c r="J13" s="5"/>
      <c r="K13" s="5"/>
      <c r="L13" s="5"/>
      <c r="M13" s="5"/>
      <c r="N13" s="5"/>
      <c r="O13" s="5"/>
      <c r="P13" s="5"/>
    </row>
    <row r="14" spans="1:16" ht="19.5" x14ac:dyDescent="0.25">
      <c r="A14" s="5"/>
      <c r="B14" s="42" t="s">
        <v>50</v>
      </c>
      <c r="C14" s="43"/>
      <c r="D14" s="43"/>
      <c r="E14" s="43"/>
      <c r="F14" s="44" t="s">
        <v>0</v>
      </c>
      <c r="G14" s="45" t="s">
        <v>66</v>
      </c>
      <c r="H14" s="46" t="s">
        <v>35</v>
      </c>
      <c r="I14" s="5"/>
      <c r="J14" s="5"/>
      <c r="K14" s="5"/>
      <c r="L14" s="5"/>
      <c r="M14" s="5"/>
      <c r="N14" s="5"/>
      <c r="O14" s="5"/>
      <c r="P14" s="5"/>
    </row>
    <row r="15" spans="1:16" ht="19.5" x14ac:dyDescent="0.25">
      <c r="A15" s="5"/>
      <c r="B15" s="47" t="s">
        <v>39</v>
      </c>
      <c r="C15" s="48"/>
      <c r="D15" s="48"/>
      <c r="E15" s="48"/>
      <c r="F15" s="49">
        <f>H7</f>
        <v>220626</v>
      </c>
      <c r="G15" s="110">
        <f>($C$4+$C$11)*1.2</f>
        <v>23.472000000000001</v>
      </c>
      <c r="H15" s="50">
        <f>F15*G15/100</f>
        <v>51785.334719999999</v>
      </c>
      <c r="I15" s="5"/>
      <c r="J15" s="5"/>
      <c r="K15" s="5"/>
      <c r="L15" s="5"/>
      <c r="M15" s="5"/>
      <c r="N15" s="5"/>
      <c r="O15" s="5"/>
      <c r="P15" s="5"/>
    </row>
    <row r="16" spans="1:16" ht="20.25" thickBot="1" x14ac:dyDescent="0.3">
      <c r="A16" s="5"/>
      <c r="B16" s="47" t="s">
        <v>44</v>
      </c>
      <c r="C16" s="48"/>
      <c r="D16" s="48"/>
      <c r="E16" s="48"/>
      <c r="F16" s="51">
        <f>H6</f>
        <v>81166</v>
      </c>
      <c r="G16" s="111">
        <f>$C$5</f>
        <v>5.9</v>
      </c>
      <c r="H16" s="52">
        <f>-F16*G16/100</f>
        <v>-4788.7939999999999</v>
      </c>
      <c r="I16" s="5"/>
      <c r="J16" s="5"/>
      <c r="K16" s="5"/>
      <c r="L16" s="5"/>
      <c r="M16" s="5"/>
      <c r="N16" s="5"/>
      <c r="O16" s="5"/>
      <c r="P16" s="5"/>
    </row>
    <row r="17" spans="1:16" ht="20.25" thickBot="1" x14ac:dyDescent="0.3">
      <c r="A17" s="5"/>
      <c r="B17" s="53" t="s">
        <v>48</v>
      </c>
      <c r="C17" s="54"/>
      <c r="D17" s="54"/>
      <c r="E17" s="172"/>
      <c r="F17" s="172"/>
      <c r="G17" s="172"/>
      <c r="H17" s="55">
        <f>H15+H16</f>
        <v>46996.540719999997</v>
      </c>
      <c r="I17" s="5"/>
      <c r="J17" s="5"/>
      <c r="K17" s="5"/>
      <c r="L17" s="5"/>
      <c r="M17" s="5"/>
      <c r="N17" s="5"/>
      <c r="O17" s="5"/>
      <c r="P17" s="5"/>
    </row>
    <row r="18" spans="1:16" ht="21" hidden="1" thickBot="1" x14ac:dyDescent="0.3">
      <c r="A18" s="5"/>
      <c r="B18" s="56"/>
      <c r="C18" s="57"/>
      <c r="D18" s="57"/>
      <c r="E18" s="58"/>
      <c r="F18" s="59"/>
      <c r="G18" s="60"/>
      <c r="H18" s="61"/>
      <c r="I18" s="5"/>
      <c r="J18" s="5"/>
      <c r="K18" s="5"/>
      <c r="L18" s="5"/>
      <c r="M18" s="5"/>
      <c r="N18" s="5"/>
      <c r="O18" s="5"/>
      <c r="P18" s="5"/>
    </row>
    <row r="19" spans="1:16" ht="20.25" hidden="1" thickBot="1" x14ac:dyDescent="0.3">
      <c r="A19" s="5"/>
      <c r="B19" s="62" t="s">
        <v>51</v>
      </c>
      <c r="C19" s="63"/>
      <c r="D19" s="63"/>
      <c r="E19" s="63"/>
      <c r="F19" s="64" t="s">
        <v>0</v>
      </c>
      <c r="G19" s="65" t="s">
        <v>66</v>
      </c>
      <c r="H19" s="66" t="s">
        <v>35</v>
      </c>
      <c r="I19" s="5"/>
      <c r="J19" s="5"/>
      <c r="K19" s="5"/>
      <c r="L19" s="5"/>
      <c r="M19" s="5"/>
      <c r="N19" s="5"/>
      <c r="O19" s="5"/>
      <c r="P19" s="5"/>
    </row>
    <row r="20" spans="1:16" ht="19.5" hidden="1" x14ac:dyDescent="0.25">
      <c r="A20" s="5"/>
      <c r="B20" s="47" t="s">
        <v>46</v>
      </c>
      <c r="C20" s="48"/>
      <c r="D20" s="48"/>
      <c r="E20" s="48"/>
      <c r="F20" s="67">
        <f>H7-H8-H9</f>
        <v>66998.691749999998</v>
      </c>
      <c r="G20" s="110">
        <f>($C$4+$C$11)*1.2</f>
        <v>23.472000000000001</v>
      </c>
      <c r="H20" s="68">
        <f>F20*G20/100</f>
        <v>15725.932927560001</v>
      </c>
      <c r="I20" s="5"/>
      <c r="J20" s="5"/>
      <c r="K20" s="5"/>
      <c r="L20" s="5"/>
      <c r="M20" s="5"/>
      <c r="N20" s="5"/>
      <c r="O20" s="5"/>
      <c r="P20" s="5"/>
    </row>
    <row r="21" spans="1:16" ht="19.5" hidden="1" x14ac:dyDescent="0.25">
      <c r="A21" s="5"/>
      <c r="B21" s="47" t="s">
        <v>52</v>
      </c>
      <c r="C21" s="48"/>
      <c r="D21" s="48"/>
      <c r="E21" s="48"/>
      <c r="F21" s="69">
        <f>H9</f>
        <v>111664.48625000002</v>
      </c>
      <c r="G21" s="113">
        <f>C6</f>
        <v>10</v>
      </c>
      <c r="H21" s="70">
        <f>F21*G21/100</f>
        <v>11166.448625000003</v>
      </c>
      <c r="I21" s="5"/>
      <c r="J21" s="5"/>
      <c r="K21" s="5"/>
      <c r="L21" s="5"/>
      <c r="M21" s="5"/>
      <c r="N21" s="5"/>
      <c r="O21" s="5"/>
      <c r="P21" s="5"/>
    </row>
    <row r="22" spans="1:16" ht="19.5" hidden="1" x14ac:dyDescent="0.25">
      <c r="A22" s="5"/>
      <c r="B22" s="47" t="s">
        <v>53</v>
      </c>
      <c r="C22" s="48"/>
      <c r="D22" s="48"/>
      <c r="E22" s="48"/>
      <c r="F22" s="69">
        <f>H10</f>
        <v>8928.26</v>
      </c>
      <c r="G22" s="113">
        <f>C6</f>
        <v>10</v>
      </c>
      <c r="H22" s="71">
        <f>-F22*G22/100</f>
        <v>-892.82600000000002</v>
      </c>
      <c r="I22" s="5"/>
      <c r="J22" s="5"/>
      <c r="K22" s="5"/>
      <c r="L22" s="5"/>
      <c r="M22" s="5"/>
      <c r="N22" s="5"/>
      <c r="O22" s="5"/>
      <c r="P22" s="5"/>
    </row>
    <row r="23" spans="1:16" ht="19.5" hidden="1" x14ac:dyDescent="0.25">
      <c r="A23" s="5"/>
      <c r="B23" s="47" t="s">
        <v>54</v>
      </c>
      <c r="C23" s="48"/>
      <c r="D23" s="48"/>
      <c r="E23" s="48"/>
      <c r="F23" s="69">
        <f>H6-H8-H10</f>
        <v>30274.917999999998</v>
      </c>
      <c r="G23" s="113">
        <f>$C$5</f>
        <v>5.9</v>
      </c>
      <c r="H23" s="71">
        <f>-F23*G23/100</f>
        <v>-1786.2201619999998</v>
      </c>
      <c r="I23" s="5"/>
      <c r="J23" s="5"/>
      <c r="K23" s="5"/>
      <c r="L23" s="5"/>
      <c r="M23" s="5"/>
      <c r="N23" s="5"/>
      <c r="O23" s="5"/>
      <c r="P23" s="5"/>
    </row>
    <row r="24" spans="1:16" ht="20.25" hidden="1" thickBot="1" x14ac:dyDescent="0.3">
      <c r="A24" s="5"/>
      <c r="B24" s="47" t="s">
        <v>75</v>
      </c>
      <c r="C24" s="48"/>
      <c r="D24" s="48"/>
      <c r="E24" s="48"/>
      <c r="F24" s="72">
        <f>H8+H9</f>
        <v>153627.30825</v>
      </c>
      <c r="G24" s="114">
        <f>(C11-C10)*1.2</f>
        <v>5.94048</v>
      </c>
      <c r="H24" s="73">
        <f>F24*G24/100</f>
        <v>9126.1995211295998</v>
      </c>
      <c r="I24" s="5"/>
      <c r="J24" s="5"/>
      <c r="K24" s="5"/>
      <c r="L24" s="5"/>
      <c r="M24" s="5"/>
      <c r="N24" s="5"/>
      <c r="O24" s="5"/>
      <c r="P24" s="5"/>
    </row>
    <row r="25" spans="1:16" ht="20.25" hidden="1" thickBot="1" x14ac:dyDescent="0.3">
      <c r="A25" s="5"/>
      <c r="B25" s="104" t="s">
        <v>72</v>
      </c>
      <c r="C25" s="105"/>
      <c r="D25" s="105"/>
      <c r="E25" s="105"/>
      <c r="F25" s="105"/>
      <c r="G25" s="106"/>
      <c r="H25" s="74">
        <f>(E34+E43)</f>
        <v>2637.1839024999999</v>
      </c>
      <c r="I25" s="5"/>
      <c r="J25" s="5"/>
      <c r="K25" s="5"/>
      <c r="L25" s="5"/>
      <c r="M25" s="5"/>
      <c r="N25" s="5"/>
      <c r="O25" s="5"/>
      <c r="P25" s="5"/>
    </row>
    <row r="26" spans="1:16" ht="20.25" thickBot="1" x14ac:dyDescent="0.3">
      <c r="A26" s="5"/>
      <c r="B26" s="53" t="s">
        <v>49</v>
      </c>
      <c r="C26" s="54"/>
      <c r="D26" s="54"/>
      <c r="E26" s="54"/>
      <c r="F26" s="54"/>
      <c r="G26" s="54"/>
      <c r="H26" s="55">
        <f>SUM(H20:H25)</f>
        <v>35976.718814189604</v>
      </c>
      <c r="I26" s="5"/>
      <c r="J26" s="5"/>
      <c r="K26" s="5"/>
      <c r="L26" s="5"/>
      <c r="M26" s="5"/>
      <c r="N26" s="5"/>
      <c r="O26" s="5"/>
      <c r="P26" s="5"/>
    </row>
    <row r="27" spans="1:16" ht="23.45" customHeight="1" thickBot="1" x14ac:dyDescent="0.3">
      <c r="A27" s="5"/>
      <c r="B27" s="75" t="s">
        <v>47</v>
      </c>
      <c r="C27" s="76"/>
      <c r="D27" s="76"/>
      <c r="E27" s="76"/>
      <c r="F27" s="76"/>
      <c r="G27" s="76"/>
      <c r="H27" s="103">
        <f>H17-H26</f>
        <v>11019.821905810393</v>
      </c>
      <c r="I27" s="5"/>
      <c r="J27" s="5"/>
      <c r="K27" s="5"/>
      <c r="L27" s="5"/>
      <c r="M27" s="5"/>
      <c r="N27" s="5"/>
      <c r="O27" s="5"/>
      <c r="P27" s="5"/>
    </row>
    <row r="28" spans="1:16" ht="21.6" hidden="1" customHeight="1" thickBot="1" x14ac:dyDescent="0.3">
      <c r="A28" s="5"/>
      <c r="B28" s="23"/>
      <c r="C28" s="5"/>
      <c r="D28" s="5"/>
      <c r="E28" s="5"/>
      <c r="F28" s="180" t="s">
        <v>98</v>
      </c>
      <c r="G28" s="181"/>
      <c r="H28" s="184" t="s">
        <v>107</v>
      </c>
      <c r="I28" s="186" t="s">
        <v>100</v>
      </c>
      <c r="J28" s="184" t="s">
        <v>99</v>
      </c>
      <c r="K28" s="5"/>
      <c r="L28" s="5"/>
      <c r="M28" s="5"/>
      <c r="N28" s="5"/>
      <c r="O28" s="5"/>
      <c r="P28" s="6"/>
    </row>
    <row r="29" spans="1:16" ht="36.950000000000003" hidden="1" customHeight="1" thickBot="1" x14ac:dyDescent="0.3">
      <c r="A29" s="5"/>
      <c r="B29" s="78" t="s">
        <v>21</v>
      </c>
      <c r="C29" s="16"/>
      <c r="D29" s="16"/>
      <c r="E29" s="16"/>
      <c r="F29" s="182"/>
      <c r="G29" s="183"/>
      <c r="H29" s="185"/>
      <c r="I29" s="187"/>
      <c r="J29" s="188"/>
      <c r="K29" s="5"/>
      <c r="M29" s="146"/>
      <c r="N29" s="146"/>
      <c r="O29" s="5"/>
      <c r="P29" s="5"/>
    </row>
    <row r="30" spans="1:16" ht="18" hidden="1" customHeight="1" thickBot="1" x14ac:dyDescent="0.3">
      <c r="A30" s="5"/>
      <c r="B30" s="9" t="s">
        <v>7</v>
      </c>
      <c r="C30" s="10" t="s">
        <v>2</v>
      </c>
      <c r="D30" s="10" t="s">
        <v>1</v>
      </c>
      <c r="E30" s="11" t="s">
        <v>3</v>
      </c>
      <c r="F30" s="132" t="s">
        <v>8</v>
      </c>
      <c r="G30" s="132" t="s">
        <v>1</v>
      </c>
      <c r="H30" s="132" t="s">
        <v>1</v>
      </c>
      <c r="I30" s="132" t="s">
        <v>1</v>
      </c>
      <c r="J30" s="132" t="s">
        <v>1</v>
      </c>
      <c r="K30" s="140" t="s">
        <v>23</v>
      </c>
      <c r="L30" s="174" t="s">
        <v>24</v>
      </c>
      <c r="M30" s="175"/>
      <c r="N30" s="176"/>
      <c r="O30" s="5"/>
    </row>
    <row r="31" spans="1:16" ht="18" hidden="1" customHeight="1" x14ac:dyDescent="0.4">
      <c r="A31" s="5"/>
      <c r="B31" s="79">
        <v>1</v>
      </c>
      <c r="C31" s="80">
        <v>200000</v>
      </c>
      <c r="D31" s="81">
        <v>1.2E-2</v>
      </c>
      <c r="E31" s="1">
        <f>IF(B31&lt;=$H$11,MIN($H$11-N(C30),C31-N(C30))*D31,0)</f>
        <v>2400</v>
      </c>
      <c r="F31" s="133" t="s">
        <v>12</v>
      </c>
      <c r="G31" s="117">
        <v>8.4600000000000009</v>
      </c>
      <c r="H31" s="134">
        <v>1.4</v>
      </c>
      <c r="I31" s="134">
        <f>G31*0.28</f>
        <v>2.3688000000000007</v>
      </c>
      <c r="J31" s="117">
        <f>I31+H31</f>
        <v>3.7688000000000006</v>
      </c>
      <c r="K31" s="141"/>
      <c r="L31" s="139"/>
      <c r="M31" s="139"/>
      <c r="N31" s="142"/>
      <c r="O31" s="5"/>
    </row>
    <row r="32" spans="1:16" ht="18" hidden="1" customHeight="1" x14ac:dyDescent="0.4">
      <c r="A32" s="5"/>
      <c r="B32" s="82">
        <v>200001</v>
      </c>
      <c r="C32" s="83">
        <v>1000000</v>
      </c>
      <c r="D32" s="81">
        <v>0.01</v>
      </c>
      <c r="E32" s="1">
        <f t="shared" ref="E32:E33" si="0">IF(B32&lt;=$H$11,MIN($H$11-N(C31),C32-N(C31))*D32,0)</f>
        <v>45.183902499999967</v>
      </c>
      <c r="F32" s="121" t="s">
        <v>11</v>
      </c>
      <c r="G32" s="118">
        <v>9.67</v>
      </c>
      <c r="H32" s="135">
        <v>1.4</v>
      </c>
      <c r="I32" s="135">
        <f t="shared" ref="I32:I43" si="1">G32*0.28</f>
        <v>2.7076000000000002</v>
      </c>
      <c r="J32" s="136">
        <f t="shared" ref="J32:J43" si="2">I32+H32</f>
        <v>4.1075999999999997</v>
      </c>
      <c r="K32" s="141" t="s">
        <v>29</v>
      </c>
      <c r="L32" s="139"/>
      <c r="M32" s="139"/>
      <c r="N32" s="142"/>
      <c r="O32" s="5"/>
    </row>
    <row r="33" spans="1:16" ht="18" hidden="1" customHeight="1" x14ac:dyDescent="0.4">
      <c r="A33" s="5"/>
      <c r="B33" s="82">
        <v>1000001</v>
      </c>
      <c r="C33" s="84">
        <v>5000000</v>
      </c>
      <c r="D33" s="81">
        <v>0.09</v>
      </c>
      <c r="E33" s="1">
        <f t="shared" si="0"/>
        <v>0</v>
      </c>
      <c r="F33" s="121" t="s">
        <v>13</v>
      </c>
      <c r="G33" s="118">
        <v>6.9</v>
      </c>
      <c r="H33" s="135">
        <v>1.4</v>
      </c>
      <c r="I33" s="135">
        <f t="shared" si="1"/>
        <v>1.9320000000000004</v>
      </c>
      <c r="J33" s="136">
        <f t="shared" si="2"/>
        <v>3.3320000000000003</v>
      </c>
      <c r="K33" s="141"/>
      <c r="L33" s="139"/>
      <c r="M33" s="139"/>
      <c r="N33" s="142"/>
      <c r="O33" s="5"/>
    </row>
    <row r="34" spans="1:16" ht="18" hidden="1" customHeight="1" x14ac:dyDescent="0.4">
      <c r="A34" s="5"/>
      <c r="B34" s="85"/>
      <c r="C34" s="86"/>
      <c r="D34" s="87" t="s">
        <v>5</v>
      </c>
      <c r="E34" s="88">
        <f>SUM(E31:E33)</f>
        <v>2445.1839024999999</v>
      </c>
      <c r="F34" s="121" t="s">
        <v>15</v>
      </c>
      <c r="G34" s="118">
        <v>8.7899999999999991</v>
      </c>
      <c r="H34" s="135">
        <v>1.4</v>
      </c>
      <c r="I34" s="135">
        <f t="shared" si="1"/>
        <v>2.4611999999999998</v>
      </c>
      <c r="J34" s="136">
        <f t="shared" si="2"/>
        <v>3.8611999999999997</v>
      </c>
      <c r="K34" s="141" t="s">
        <v>25</v>
      </c>
      <c r="L34" s="139"/>
      <c r="M34" s="139"/>
      <c r="N34" s="142"/>
      <c r="O34" s="5"/>
    </row>
    <row r="35" spans="1:16" ht="18" hidden="1" customHeight="1" thickBot="1" x14ac:dyDescent="0.45">
      <c r="A35" s="5"/>
      <c r="B35" s="93"/>
      <c r="C35" s="94"/>
      <c r="D35" s="94"/>
      <c r="E35" s="95"/>
      <c r="F35" s="122" t="s">
        <v>16</v>
      </c>
      <c r="G35" s="118">
        <v>6.26</v>
      </c>
      <c r="H35" s="135">
        <v>1.4</v>
      </c>
      <c r="I35" s="135">
        <f t="shared" si="1"/>
        <v>1.7528000000000001</v>
      </c>
      <c r="J35" s="136">
        <f t="shared" si="2"/>
        <v>3.1528</v>
      </c>
      <c r="K35" s="141" t="s">
        <v>26</v>
      </c>
      <c r="L35" s="139"/>
      <c r="M35" s="139"/>
      <c r="N35" s="142"/>
      <c r="O35" s="5"/>
    </row>
    <row r="36" spans="1:16" ht="18" hidden="1" customHeight="1" x14ac:dyDescent="0.4">
      <c r="A36" s="5"/>
      <c r="B36" s="89" t="s">
        <v>36</v>
      </c>
      <c r="C36" s="90"/>
      <c r="D36" s="90"/>
      <c r="E36" s="91"/>
      <c r="F36" s="123" t="s">
        <v>14</v>
      </c>
      <c r="G36" s="118">
        <v>5.57</v>
      </c>
      <c r="H36" s="135">
        <v>1.4</v>
      </c>
      <c r="I36" s="135">
        <f t="shared" si="1"/>
        <v>1.5596000000000003</v>
      </c>
      <c r="J36" s="136">
        <f t="shared" si="2"/>
        <v>2.9596</v>
      </c>
      <c r="K36" s="141" t="s">
        <v>27</v>
      </c>
      <c r="L36" s="139"/>
      <c r="M36" s="139"/>
      <c r="N36" s="142"/>
      <c r="O36" s="5"/>
    </row>
    <row r="37" spans="1:16" ht="18" hidden="1" customHeight="1" x14ac:dyDescent="0.4">
      <c r="A37" s="5"/>
      <c r="B37" s="9" t="s">
        <v>6</v>
      </c>
      <c r="C37" s="10" t="s">
        <v>4</v>
      </c>
      <c r="D37" s="23"/>
      <c r="E37" s="5"/>
      <c r="F37" s="123" t="s">
        <v>17</v>
      </c>
      <c r="G37" s="118">
        <v>6.59</v>
      </c>
      <c r="H37" s="135">
        <v>1.4</v>
      </c>
      <c r="I37" s="135">
        <f t="shared" si="1"/>
        <v>1.8452000000000002</v>
      </c>
      <c r="J37" s="136">
        <f t="shared" si="2"/>
        <v>3.2452000000000001</v>
      </c>
      <c r="K37" s="141" t="s">
        <v>60</v>
      </c>
      <c r="L37" s="139"/>
      <c r="M37" s="139"/>
      <c r="N37" s="142"/>
      <c r="O37" s="5"/>
    </row>
    <row r="38" spans="1:16" ht="18" hidden="1" customHeight="1" x14ac:dyDescent="0.4">
      <c r="A38" s="5"/>
      <c r="B38" s="2">
        <v>10</v>
      </c>
      <c r="C38" s="96">
        <v>3</v>
      </c>
      <c r="D38" s="23"/>
      <c r="E38" s="5"/>
      <c r="F38" s="123" t="s">
        <v>18</v>
      </c>
      <c r="G38" s="118">
        <v>8.82</v>
      </c>
      <c r="H38" s="135">
        <v>1.4</v>
      </c>
      <c r="I38" s="135">
        <f t="shared" si="1"/>
        <v>2.4696000000000002</v>
      </c>
      <c r="J38" s="136">
        <f t="shared" si="2"/>
        <v>3.8696000000000002</v>
      </c>
      <c r="K38" s="141" t="s">
        <v>62</v>
      </c>
      <c r="L38" s="139"/>
      <c r="M38" s="139"/>
      <c r="N38" s="142"/>
      <c r="O38" s="5"/>
    </row>
    <row r="39" spans="1:16" ht="18" hidden="1" customHeight="1" x14ac:dyDescent="0.4">
      <c r="A39" s="5"/>
      <c r="B39" s="2">
        <v>20</v>
      </c>
      <c r="C39" s="96">
        <v>3</v>
      </c>
      <c r="D39" s="23"/>
      <c r="E39" s="5"/>
      <c r="F39" s="123" t="s">
        <v>9</v>
      </c>
      <c r="G39" s="118">
        <v>5.17</v>
      </c>
      <c r="H39" s="135">
        <v>1.4</v>
      </c>
      <c r="I39" s="135">
        <f t="shared" si="1"/>
        <v>1.4476000000000002</v>
      </c>
      <c r="J39" s="136">
        <f t="shared" si="2"/>
        <v>2.8475999999999999</v>
      </c>
      <c r="K39" s="141" t="s">
        <v>61</v>
      </c>
      <c r="L39" s="139"/>
      <c r="M39" s="139"/>
      <c r="N39" s="142"/>
      <c r="O39" s="5"/>
    </row>
    <row r="40" spans="1:16" ht="18" hidden="1" customHeight="1" x14ac:dyDescent="0.4">
      <c r="A40" s="5"/>
      <c r="B40" s="2">
        <v>30</v>
      </c>
      <c r="C40" s="96">
        <v>3</v>
      </c>
      <c r="D40" s="23"/>
      <c r="E40" s="5"/>
      <c r="F40" s="123" t="s">
        <v>76</v>
      </c>
      <c r="G40" s="118">
        <v>6.81</v>
      </c>
      <c r="H40" s="135">
        <v>1.4</v>
      </c>
      <c r="I40" s="135">
        <f t="shared" si="1"/>
        <v>1.9068000000000001</v>
      </c>
      <c r="J40" s="136">
        <f t="shared" si="2"/>
        <v>3.3068</v>
      </c>
      <c r="K40" s="141" t="s">
        <v>63</v>
      </c>
      <c r="L40" s="139"/>
      <c r="M40" s="139"/>
      <c r="N40" s="142"/>
      <c r="O40" s="5"/>
    </row>
    <row r="41" spans="1:16" ht="18" hidden="1" customHeight="1" x14ac:dyDescent="0.4">
      <c r="A41" s="5"/>
      <c r="B41" s="2">
        <v>40</v>
      </c>
      <c r="C41" s="96">
        <v>3</v>
      </c>
      <c r="D41" s="23"/>
      <c r="E41" s="5"/>
      <c r="F41" s="123" t="s">
        <v>10</v>
      </c>
      <c r="G41" s="118">
        <v>8.0299999999999994</v>
      </c>
      <c r="H41" s="135">
        <v>1.4</v>
      </c>
      <c r="I41" s="135">
        <f t="shared" si="1"/>
        <v>2.2484000000000002</v>
      </c>
      <c r="J41" s="136">
        <f t="shared" si="2"/>
        <v>3.6484000000000001</v>
      </c>
      <c r="K41" s="141" t="s">
        <v>64</v>
      </c>
      <c r="L41" s="139"/>
      <c r="M41" s="139"/>
      <c r="N41" s="142"/>
      <c r="O41" s="5"/>
    </row>
    <row r="42" spans="1:16" ht="18" hidden="1" customHeight="1" x14ac:dyDescent="0.4">
      <c r="A42" s="5"/>
      <c r="B42" s="3">
        <v>50</v>
      </c>
      <c r="C42" s="97">
        <v>3</v>
      </c>
      <c r="D42" s="23"/>
      <c r="E42" s="5"/>
      <c r="F42" s="123" t="s">
        <v>19</v>
      </c>
      <c r="G42" s="118">
        <v>4.96</v>
      </c>
      <c r="H42" s="135">
        <v>1.4</v>
      </c>
      <c r="I42" s="135">
        <f t="shared" si="1"/>
        <v>1.3888</v>
      </c>
      <c r="J42" s="136">
        <f t="shared" si="2"/>
        <v>2.7888000000000002</v>
      </c>
      <c r="K42" s="177" t="s">
        <v>56</v>
      </c>
      <c r="L42" s="178"/>
      <c r="M42" s="178"/>
      <c r="N42" s="179"/>
      <c r="O42" s="5"/>
    </row>
    <row r="43" spans="1:16" ht="18" hidden="1" customHeight="1" thickBot="1" x14ac:dyDescent="0.45">
      <c r="A43" s="92"/>
      <c r="B43" s="4">
        <v>100</v>
      </c>
      <c r="C43" s="98">
        <v>3</v>
      </c>
      <c r="D43" s="87" t="s">
        <v>5</v>
      </c>
      <c r="E43" s="88">
        <f>VLOOKUP(C7,B38:C43,2)*4*C8</f>
        <v>192</v>
      </c>
      <c r="F43" s="124" t="s">
        <v>20</v>
      </c>
      <c r="G43" s="119">
        <v>6.98</v>
      </c>
      <c r="H43" s="137">
        <v>1.4</v>
      </c>
      <c r="I43" s="137">
        <f t="shared" si="1"/>
        <v>1.9544000000000004</v>
      </c>
      <c r="J43" s="138">
        <f t="shared" si="2"/>
        <v>3.3544</v>
      </c>
      <c r="K43" s="143" t="s">
        <v>57</v>
      </c>
      <c r="L43" s="144"/>
      <c r="M43" s="144"/>
      <c r="N43" s="145"/>
      <c r="O43" s="5"/>
    </row>
    <row r="44" spans="1:16" hidden="1" x14ac:dyDescent="0.25">
      <c r="A44" s="92"/>
      <c r="D44" s="92"/>
      <c r="E44" s="92"/>
      <c r="L44" s="92"/>
      <c r="M44" s="92"/>
      <c r="N44" s="92"/>
      <c r="O44" s="92"/>
      <c r="P44" s="92"/>
    </row>
    <row r="45" spans="1:16" x14ac:dyDescent="0.25">
      <c r="A45" s="92"/>
      <c r="B45" s="155" t="s">
        <v>110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16" x14ac:dyDescent="0.25">
      <c r="B46" s="92"/>
      <c r="C46" s="92"/>
      <c r="D46" s="92"/>
      <c r="E46" s="92"/>
      <c r="F46" s="92"/>
      <c r="G46" s="92"/>
      <c r="H46" s="92"/>
      <c r="I46" s="92"/>
      <c r="J46" s="92"/>
      <c r="K46" s="92"/>
      <c r="P46" s="92"/>
    </row>
    <row r="47" spans="1:16" ht="6" customHeight="1" x14ac:dyDescent="0.25">
      <c r="B47" s="128"/>
      <c r="C47" s="128"/>
      <c r="D47" s="128"/>
      <c r="E47" s="128"/>
      <c r="F47" s="128"/>
      <c r="G47" s="128"/>
      <c r="H47" s="128"/>
      <c r="I47" s="128"/>
      <c r="J47" s="92"/>
    </row>
    <row r="48" spans="1:16" ht="19.5" x14ac:dyDescent="0.45">
      <c r="B48" s="147" t="s">
        <v>84</v>
      </c>
      <c r="C48" s="127"/>
      <c r="D48" s="127"/>
      <c r="E48" s="128"/>
      <c r="F48" s="128"/>
      <c r="G48" s="128"/>
      <c r="H48" s="128"/>
      <c r="I48" s="128"/>
      <c r="J48" s="92"/>
    </row>
    <row r="49" spans="2:10" ht="19.5" x14ac:dyDescent="0.25">
      <c r="B49" s="151" t="s">
        <v>85</v>
      </c>
      <c r="C49" s="151"/>
      <c r="D49" s="151"/>
      <c r="E49" s="152"/>
      <c r="F49" s="152"/>
      <c r="G49" s="152"/>
      <c r="H49" s="152"/>
      <c r="I49" s="128"/>
      <c r="J49" s="92"/>
    </row>
    <row r="50" spans="2:10" ht="19.5" x14ac:dyDescent="0.25">
      <c r="B50" s="154" t="s">
        <v>86</v>
      </c>
      <c r="C50" s="152"/>
      <c r="D50" s="152"/>
      <c r="E50" s="152"/>
      <c r="F50" s="152"/>
      <c r="G50" s="152"/>
      <c r="H50" s="152"/>
      <c r="I50" s="128"/>
      <c r="J50" s="92"/>
    </row>
    <row r="51" spans="2:10" ht="19.5" x14ac:dyDescent="0.25">
      <c r="B51" s="151" t="s">
        <v>105</v>
      </c>
      <c r="C51" s="151"/>
      <c r="D51" s="151"/>
      <c r="E51" s="152"/>
      <c r="F51" s="152"/>
      <c r="G51" s="152"/>
      <c r="H51" s="152"/>
      <c r="I51" s="128"/>
      <c r="J51" s="92"/>
    </row>
    <row r="52" spans="2:10" ht="19.5" x14ac:dyDescent="0.25">
      <c r="B52" s="151" t="s">
        <v>106</v>
      </c>
      <c r="C52" s="151"/>
      <c r="D52" s="151"/>
      <c r="E52" s="152"/>
      <c r="F52" s="152"/>
      <c r="G52" s="152"/>
      <c r="H52" s="152"/>
      <c r="I52" s="128"/>
      <c r="J52" s="92"/>
    </row>
    <row r="53" spans="2:10" ht="19.5" x14ac:dyDescent="0.25">
      <c r="B53" s="151"/>
      <c r="C53" s="151"/>
      <c r="D53" s="151"/>
      <c r="E53" s="152"/>
      <c r="F53" s="152"/>
      <c r="G53" s="152"/>
      <c r="H53" s="152"/>
      <c r="I53" s="128"/>
      <c r="J53" s="92"/>
    </row>
    <row r="54" spans="2:10" ht="19.5" x14ac:dyDescent="0.25">
      <c r="B54" s="151" t="s">
        <v>87</v>
      </c>
      <c r="C54" s="151"/>
      <c r="D54" s="151"/>
      <c r="E54" s="152"/>
      <c r="F54" s="152"/>
      <c r="G54" s="152"/>
      <c r="H54" s="152"/>
      <c r="I54" s="128"/>
      <c r="J54" s="92"/>
    </row>
    <row r="55" spans="2:10" ht="19.5" x14ac:dyDescent="0.25">
      <c r="B55" s="154" t="s">
        <v>88</v>
      </c>
      <c r="C55" s="128"/>
      <c r="D55" s="128"/>
      <c r="E55" s="128"/>
      <c r="F55" s="128"/>
      <c r="G55" s="128"/>
      <c r="H55" s="128"/>
      <c r="I55" s="128"/>
      <c r="J55" s="92"/>
    </row>
    <row r="56" spans="2:10" ht="19.5" x14ac:dyDescent="0.25">
      <c r="B56" s="151"/>
      <c r="C56" s="127"/>
      <c r="D56" s="127"/>
      <c r="E56" s="128"/>
      <c r="F56" s="128"/>
      <c r="G56" s="128"/>
      <c r="H56" s="128"/>
      <c r="I56" s="128"/>
      <c r="J56" s="92"/>
    </row>
    <row r="57" spans="2:10" ht="19.5" x14ac:dyDescent="0.25">
      <c r="B57" s="151" t="s">
        <v>102</v>
      </c>
      <c r="C57" s="151"/>
      <c r="D57" s="151"/>
      <c r="E57" s="152"/>
      <c r="F57" s="128"/>
      <c r="G57" s="128"/>
      <c r="H57" s="128"/>
      <c r="I57" s="128"/>
      <c r="J57" s="92"/>
    </row>
    <row r="58" spans="2:10" ht="16.5" x14ac:dyDescent="0.25">
      <c r="B58" s="173" t="s">
        <v>89</v>
      </c>
      <c r="C58" s="173"/>
      <c r="D58" s="173"/>
      <c r="E58" s="173"/>
      <c r="F58" s="173"/>
      <c r="G58" s="128"/>
      <c r="H58" s="128"/>
      <c r="I58" s="128"/>
      <c r="J58" s="92"/>
    </row>
    <row r="59" spans="2:10" ht="19.5" x14ac:dyDescent="0.25">
      <c r="B59" s="151"/>
      <c r="C59" s="127"/>
      <c r="D59" s="127"/>
      <c r="E59" s="128"/>
      <c r="F59" s="128"/>
      <c r="G59" s="128"/>
      <c r="H59" s="128"/>
      <c r="I59" s="128"/>
      <c r="J59" s="92"/>
    </row>
    <row r="60" spans="2:10" ht="19.5" x14ac:dyDescent="0.45">
      <c r="B60" s="147" t="s">
        <v>90</v>
      </c>
      <c r="C60" s="131"/>
      <c r="D60" s="131"/>
      <c r="E60" s="131"/>
      <c r="F60" s="131"/>
      <c r="G60" s="131"/>
      <c r="H60" s="131"/>
      <c r="I60" s="128"/>
      <c r="J60" s="92"/>
    </row>
    <row r="61" spans="2:10" ht="19.5" x14ac:dyDescent="0.4">
      <c r="B61" s="154" t="s">
        <v>91</v>
      </c>
      <c r="C61" s="130"/>
      <c r="D61" s="130"/>
      <c r="E61" s="131"/>
      <c r="F61" s="131"/>
      <c r="G61" s="131"/>
      <c r="H61" s="131"/>
      <c r="I61" s="128"/>
      <c r="J61" s="92"/>
    </row>
    <row r="62" spans="2:10" ht="19.5" x14ac:dyDescent="0.4">
      <c r="B62" s="153" t="s">
        <v>92</v>
      </c>
      <c r="C62" s="130"/>
      <c r="D62" s="130"/>
      <c r="E62" s="129"/>
      <c r="F62" s="131"/>
      <c r="G62" s="131"/>
      <c r="H62" s="131"/>
      <c r="I62" s="128"/>
      <c r="J62" s="92"/>
    </row>
    <row r="63" spans="2:10" ht="19.5" x14ac:dyDescent="0.4">
      <c r="B63" s="154" t="s">
        <v>93</v>
      </c>
      <c r="C63" s="130"/>
      <c r="D63" s="130"/>
      <c r="E63" s="131"/>
      <c r="F63" s="131"/>
      <c r="G63" s="131"/>
      <c r="H63" s="131"/>
      <c r="I63" s="128"/>
      <c r="J63" s="92"/>
    </row>
    <row r="64" spans="2:10" ht="19.5" x14ac:dyDescent="0.4">
      <c r="B64" s="154" t="s">
        <v>94</v>
      </c>
      <c r="C64" s="130"/>
      <c r="D64" s="130"/>
      <c r="E64" s="131"/>
      <c r="F64" s="131"/>
      <c r="G64" s="131"/>
      <c r="H64" s="131"/>
      <c r="I64" s="128"/>
      <c r="J64" s="92"/>
    </row>
    <row r="65" spans="2:10" ht="19.5" x14ac:dyDescent="0.45">
      <c r="B65" s="148"/>
      <c r="C65" s="131"/>
      <c r="D65" s="131"/>
      <c r="E65" s="131"/>
      <c r="F65" s="131"/>
      <c r="G65" s="131"/>
      <c r="H65" s="131"/>
      <c r="I65" s="128"/>
      <c r="J65" s="92"/>
    </row>
    <row r="66" spans="2:10" ht="19.5" x14ac:dyDescent="0.45">
      <c r="B66" s="147" t="s">
        <v>95</v>
      </c>
      <c r="C66" s="131"/>
      <c r="D66" s="131"/>
      <c r="E66" s="131"/>
      <c r="F66" s="131"/>
      <c r="G66" s="131"/>
      <c r="H66" s="131"/>
      <c r="I66" s="128"/>
      <c r="J66" s="92"/>
    </row>
    <row r="67" spans="2:10" ht="19.5" x14ac:dyDescent="0.45">
      <c r="B67" s="148" t="s">
        <v>103</v>
      </c>
      <c r="C67" s="131"/>
      <c r="D67" s="131"/>
      <c r="E67" s="131"/>
      <c r="F67" s="131"/>
      <c r="G67" s="131"/>
      <c r="H67" s="131"/>
      <c r="I67" s="128"/>
      <c r="J67" s="92"/>
    </row>
    <row r="68" spans="2:10" ht="19.5" x14ac:dyDescent="0.4">
      <c r="B68" s="149" t="s">
        <v>96</v>
      </c>
      <c r="C68" s="131"/>
      <c r="D68" s="131"/>
      <c r="E68" s="131"/>
      <c r="F68" s="131"/>
      <c r="G68" s="131"/>
      <c r="H68" s="131"/>
      <c r="I68" s="128"/>
      <c r="J68" s="92"/>
    </row>
    <row r="69" spans="2:10" ht="19.5" x14ac:dyDescent="0.4">
      <c r="B69" s="154" t="s">
        <v>97</v>
      </c>
      <c r="C69" s="130"/>
      <c r="D69" s="130"/>
      <c r="E69" s="131"/>
      <c r="F69" s="131"/>
      <c r="G69" s="131"/>
      <c r="H69" s="131"/>
      <c r="I69" s="128"/>
      <c r="J69" s="92"/>
    </row>
    <row r="70" spans="2:10" ht="19.5" x14ac:dyDescent="0.45">
      <c r="B70" s="148"/>
      <c r="C70" s="131"/>
      <c r="D70" s="131"/>
      <c r="E70" s="131"/>
      <c r="F70" s="131"/>
      <c r="G70" s="131"/>
      <c r="H70" s="131"/>
      <c r="I70" s="128"/>
      <c r="J70" s="92"/>
    </row>
    <row r="71" spans="2:10" x14ac:dyDescent="0.25">
      <c r="J71" s="92"/>
    </row>
    <row r="72" spans="2:10" x14ac:dyDescent="0.25">
      <c r="J72" s="92"/>
    </row>
    <row r="73" spans="2:10" x14ac:dyDescent="0.25">
      <c r="J73" s="92"/>
    </row>
  </sheetData>
  <sheetProtection algorithmName="SHA-512" hashValue="CHJl7Hf+1Qt+vepvjI1tTCfRSRLOMfEebSO3DQSysG4MAjeI059nMty6Rk+2VksU6AblKesm4+hEjtb/7Ufk0A==" saltValue="Mf6nIe1doRCZCHc4WbWVnw==" spinCount="100000" sheet="1" selectLockedCells="1"/>
  <mergeCells count="18">
    <mergeCell ref="B58:F58"/>
    <mergeCell ref="L30:N30"/>
    <mergeCell ref="K42:N42"/>
    <mergeCell ref="F28:G29"/>
    <mergeCell ref="H28:H29"/>
    <mergeCell ref="I28:I29"/>
    <mergeCell ref="J28:J29"/>
    <mergeCell ref="I8:J8"/>
    <mergeCell ref="I9:J9"/>
    <mergeCell ref="I10:J10"/>
    <mergeCell ref="B13:E13"/>
    <mergeCell ref="E17:G17"/>
    <mergeCell ref="E7:G7"/>
    <mergeCell ref="A1:P1"/>
    <mergeCell ref="B2:H2"/>
    <mergeCell ref="E3:G3"/>
    <mergeCell ref="E4:F4"/>
    <mergeCell ref="E6:G6"/>
  </mergeCells>
  <conditionalFormatting sqref="F31:F43">
    <cfRule type="cellIs" dxfId="3" priority="1" operator="equal">
      <formula>$B$20</formula>
    </cfRule>
    <cfRule type="cellIs" dxfId="2" priority="2" operator="equal">
      <formula>$B$20</formula>
    </cfRule>
  </conditionalFormatting>
  <dataValidations count="1">
    <dataValidation type="list" allowBlank="1" showInputMessage="1" showErrorMessage="1" sqref="B10" xr:uid="{843CBAAA-F8AE-4961-B95B-DFBBF6F4F672}">
      <formula1>$F$30:$F$42</formula1>
    </dataValidation>
  </dataValidations>
  <hyperlinks>
    <hyperlink ref="E3:G3" r:id="rId1" display="Video zur Bedienung des Kalkulators" xr:uid="{B9A52AEB-6701-4366-8286-2AD86BD1EA1D}"/>
    <hyperlink ref="B55" r:id="rId2" location="karte" xr:uid="{2ED2D0CB-CC5F-4B99-844D-D68E301ED538}"/>
    <hyperlink ref="B61" r:id="rId3" display="https://neoom.com/loesungen-eeg" xr:uid="{96CF7E7E-EAED-4FFE-8F16-24419ABC5D69}"/>
    <hyperlink ref="B62" r:id="rId4" display="https://wissen.neoom.com/stromlieferung-und-verteilung" xr:uid="{D9DA2857-EC43-4CEA-BCED-F2D4AC3B3BB9}"/>
    <hyperlink ref="B63" r:id="rId5" display="https://wissen.neoom.com/schritt-fuer-schritt-anleitung-kluub" xr:uid="{7146895F-C62C-41DB-AFDD-889A51F7E00C}"/>
    <hyperlink ref="B64" r:id="rId6" display="https://wissen.neoom.com/erklaerung-des-tarifblattes" xr:uid="{6D3B1935-882F-4C7E-BDE6-892006DD491D}"/>
    <hyperlink ref="B69" r:id="rId7" xr:uid="{9D59432A-3886-436F-A58B-6761BB9A9292}"/>
    <hyperlink ref="B50" r:id="rId8" xr:uid="{EBDF3E77-662A-490F-A7C4-7055A600A0CF}"/>
    <hyperlink ref="B58" r:id="rId9" xr:uid="{13DE4077-551A-4AFB-A781-0D9A91FA54B0}"/>
  </hyperlinks>
  <pageMargins left="0.7" right="0.7" top="0.78740157499999996" bottom="0.78740157499999996" header="0.3" footer="0.3"/>
  <pageSetup paperSize="9" scale="78" fitToWidth="0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96E3-F8E7-4382-B1A6-52A821DAD7E7}">
  <sheetPr>
    <pageSetUpPr fitToPage="1"/>
  </sheetPr>
  <dimension ref="A1:P71"/>
  <sheetViews>
    <sheetView showGridLines="0" topLeftCell="A2" zoomScale="85" zoomScaleNormal="85" workbookViewId="0">
      <selection activeCell="F33" sqref="F33"/>
    </sheetView>
  </sheetViews>
  <sheetFormatPr baseColWidth="10" defaultColWidth="10.42578125" defaultRowHeight="15" x14ac:dyDescent="0.25"/>
  <cols>
    <col min="1" max="1" width="3.42578125" style="14" customWidth="1"/>
    <col min="2" max="2" width="25.85546875" style="14" customWidth="1"/>
    <col min="3" max="3" width="11.28515625" style="14" bestFit="1" customWidth="1"/>
    <col min="4" max="4" width="10.7109375" style="14" bestFit="1" customWidth="1"/>
    <col min="5" max="5" width="18.5703125" style="14" customWidth="1"/>
    <col min="6" max="6" width="14.42578125" style="14" customWidth="1"/>
    <col min="7" max="7" width="13.28515625" style="14" bestFit="1" customWidth="1"/>
    <col min="8" max="8" width="18.140625" style="14" bestFit="1" customWidth="1"/>
    <col min="9" max="9" width="17.140625" style="14" customWidth="1"/>
    <col min="10" max="10" width="18.85546875" style="14" customWidth="1"/>
    <col min="11" max="11" width="16.28515625" style="14" hidden="1" customWidth="1"/>
    <col min="12" max="12" width="17.28515625" style="14" customWidth="1"/>
    <col min="13" max="13" width="13" style="14" customWidth="1"/>
    <col min="14" max="14" width="14.42578125" style="14" customWidth="1"/>
    <col min="15" max="17" width="16.42578125" style="14" customWidth="1"/>
    <col min="18" max="16384" width="10.42578125" style="14"/>
  </cols>
  <sheetData>
    <row r="1" spans="1:16" ht="24.75" customHeight="1" x14ac:dyDescent="0.2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87" customHeight="1" thickBot="1" x14ac:dyDescent="0.3">
      <c r="A2" s="159"/>
      <c r="B2" s="160" t="s">
        <v>37</v>
      </c>
      <c r="C2" s="161"/>
      <c r="D2" s="161"/>
      <c r="E2" s="161"/>
      <c r="F2" s="161"/>
      <c r="G2" s="161"/>
      <c r="H2" s="161"/>
      <c r="I2" s="5"/>
      <c r="J2" s="5"/>
      <c r="K2" s="5"/>
      <c r="L2" s="5"/>
      <c r="M2" s="5"/>
      <c r="N2" s="5"/>
      <c r="O2" s="5"/>
      <c r="P2" s="5"/>
    </row>
    <row r="3" spans="1:16" ht="27.75" thickBot="1" x14ac:dyDescent="0.3">
      <c r="A3" s="159"/>
      <c r="B3" s="13" t="s">
        <v>40</v>
      </c>
      <c r="C3" s="7" t="s">
        <v>78</v>
      </c>
      <c r="D3" s="5"/>
      <c r="E3" s="162" t="s">
        <v>83</v>
      </c>
      <c r="F3" s="162"/>
      <c r="G3" s="162"/>
      <c r="H3" s="12"/>
      <c r="I3" s="5"/>
      <c r="J3" s="5"/>
      <c r="K3" s="5"/>
      <c r="L3" s="5"/>
      <c r="M3" s="5"/>
      <c r="N3" s="5"/>
      <c r="O3" s="5"/>
      <c r="P3" s="5"/>
    </row>
    <row r="4" spans="1:16" ht="31.5" customHeight="1" thickBot="1" x14ac:dyDescent="0.45">
      <c r="A4" s="159"/>
      <c r="B4" s="8" t="s">
        <v>30</v>
      </c>
      <c r="C4" s="125">
        <v>10</v>
      </c>
      <c r="D4" s="5"/>
      <c r="E4" s="163"/>
      <c r="F4" s="163"/>
      <c r="G4" s="5"/>
      <c r="H4" s="24"/>
      <c r="I4" s="5"/>
      <c r="J4" s="5"/>
      <c r="K4" s="5"/>
      <c r="L4" s="5"/>
      <c r="M4" s="5"/>
      <c r="N4" s="5"/>
      <c r="O4" s="5"/>
      <c r="P4" s="5"/>
    </row>
    <row r="5" spans="1:16" ht="31.5" customHeight="1" thickBot="1" x14ac:dyDescent="0.3">
      <c r="A5" s="159"/>
      <c r="B5" s="8" t="s">
        <v>31</v>
      </c>
      <c r="C5" s="116">
        <v>6</v>
      </c>
      <c r="D5" s="5"/>
      <c r="E5" s="6"/>
      <c r="F5" s="5"/>
      <c r="G5" s="5"/>
      <c r="H5" s="15" t="s">
        <v>0</v>
      </c>
      <c r="I5" s="5"/>
      <c r="J5" s="5"/>
      <c r="K5" s="5"/>
      <c r="L5" s="5"/>
      <c r="M5" s="5"/>
      <c r="N5" s="5"/>
      <c r="O5" s="5"/>
      <c r="P5" s="5"/>
    </row>
    <row r="6" spans="1:16" ht="31.5" customHeight="1" thickBot="1" x14ac:dyDescent="0.3">
      <c r="A6" s="159"/>
      <c r="B6" s="8" t="s">
        <v>32</v>
      </c>
      <c r="C6" s="126">
        <v>10</v>
      </c>
      <c r="D6" s="5"/>
      <c r="E6" s="164" t="s">
        <v>38</v>
      </c>
      <c r="F6" s="165"/>
      <c r="G6" s="166"/>
      <c r="H6" s="18">
        <v>150000</v>
      </c>
      <c r="I6" s="5"/>
      <c r="J6" s="5"/>
      <c r="K6" s="5"/>
      <c r="L6" s="5"/>
      <c r="M6" s="5"/>
      <c r="N6" s="5"/>
      <c r="O6" s="5"/>
      <c r="P6" s="5"/>
    </row>
    <row r="7" spans="1:16" ht="31.5" customHeight="1" thickBot="1" x14ac:dyDescent="0.3">
      <c r="A7" s="159"/>
      <c r="B7" s="8" t="s">
        <v>109</v>
      </c>
      <c r="C7" s="101">
        <v>100</v>
      </c>
      <c r="D7" s="5"/>
      <c r="E7" s="156" t="s">
        <v>22</v>
      </c>
      <c r="F7" s="157"/>
      <c r="G7" s="190"/>
      <c r="H7" s="19">
        <v>830000</v>
      </c>
      <c r="I7" s="5"/>
      <c r="J7" s="5"/>
      <c r="K7" s="5"/>
      <c r="L7" s="5"/>
      <c r="M7" s="5"/>
      <c r="N7" s="5"/>
      <c r="O7" s="5"/>
      <c r="P7" s="5"/>
    </row>
    <row r="8" spans="1:16" ht="15.75" customHeight="1" thickBot="1" x14ac:dyDescent="0.3">
      <c r="A8" s="159"/>
      <c r="B8" s="8" t="s">
        <v>28</v>
      </c>
      <c r="C8" s="101">
        <v>23</v>
      </c>
      <c r="D8" s="5"/>
      <c r="E8" s="191"/>
      <c r="F8" s="192"/>
      <c r="G8" s="25"/>
      <c r="H8" s="26"/>
      <c r="I8" s="5"/>
      <c r="J8" s="5"/>
      <c r="K8" s="5"/>
      <c r="L8" s="5"/>
      <c r="M8" s="5"/>
      <c r="N8" s="5"/>
      <c r="O8" s="5"/>
      <c r="P8" s="5"/>
    </row>
    <row r="9" spans="1:16" ht="15.75" customHeight="1" thickBot="1" x14ac:dyDescent="0.3">
      <c r="A9" s="159"/>
      <c r="B9" s="27"/>
      <c r="C9" s="28"/>
      <c r="D9" s="5"/>
      <c r="E9" s="29" t="s">
        <v>55</v>
      </c>
      <c r="F9" s="30"/>
      <c r="G9" s="99">
        <v>0.6</v>
      </c>
      <c r="H9" s="20">
        <f>G9*H6</f>
        <v>90000</v>
      </c>
      <c r="I9" s="167" t="s">
        <v>69</v>
      </c>
      <c r="J9" s="168"/>
      <c r="K9" s="5"/>
      <c r="L9" s="5"/>
      <c r="M9" s="5"/>
      <c r="N9" s="5"/>
      <c r="O9" s="5"/>
      <c r="P9" s="5"/>
    </row>
    <row r="10" spans="1:16" ht="20.25" thickBot="1" x14ac:dyDescent="0.3">
      <c r="A10" s="159"/>
      <c r="B10" s="31" t="s">
        <v>33</v>
      </c>
      <c r="C10" s="32" t="s">
        <v>34</v>
      </c>
      <c r="D10" s="5"/>
      <c r="E10" s="33" t="s">
        <v>58</v>
      </c>
      <c r="F10" s="34"/>
      <c r="G10" s="99">
        <v>0.2</v>
      </c>
      <c r="H10" s="21">
        <f>(H7-H9)*G10</f>
        <v>148000</v>
      </c>
      <c r="I10" s="167" t="s">
        <v>67</v>
      </c>
      <c r="J10" s="168"/>
      <c r="K10" s="5"/>
      <c r="L10" s="5"/>
      <c r="M10" s="5"/>
      <c r="N10" s="5"/>
      <c r="O10" s="5"/>
      <c r="P10" s="5"/>
    </row>
    <row r="11" spans="1:16" ht="20.25" thickBot="1" x14ac:dyDescent="0.3">
      <c r="A11" s="159"/>
      <c r="B11" s="17" t="s">
        <v>16</v>
      </c>
      <c r="C11" s="102">
        <f>VLOOKUP(B11,F33:J45,5)</f>
        <v>3.1528</v>
      </c>
      <c r="D11" s="5"/>
      <c r="E11" s="33" t="s">
        <v>59</v>
      </c>
      <c r="F11" s="34"/>
      <c r="G11" s="100">
        <v>0</v>
      </c>
      <c r="H11" s="21">
        <f>H6*G11</f>
        <v>0</v>
      </c>
      <c r="I11" s="167" t="s">
        <v>68</v>
      </c>
      <c r="J11" s="168"/>
      <c r="K11" s="5"/>
      <c r="L11" s="5"/>
      <c r="M11" s="5"/>
      <c r="N11" s="5"/>
      <c r="O11" s="5"/>
      <c r="P11" s="5"/>
    </row>
    <row r="12" spans="1:16" ht="20.25" thickBot="1" x14ac:dyDescent="0.3">
      <c r="A12" s="159"/>
      <c r="B12" s="35" t="s">
        <v>101</v>
      </c>
      <c r="C12" s="115">
        <f>VLOOKUP(B11,F33:J45,2)</f>
        <v>6.26</v>
      </c>
      <c r="D12" s="5"/>
      <c r="E12" s="36" t="s">
        <v>45</v>
      </c>
      <c r="F12" s="37"/>
      <c r="G12" s="38"/>
      <c r="H12" s="22">
        <f>2*H9+H11+H10</f>
        <v>328000</v>
      </c>
      <c r="I12" s="5"/>
      <c r="J12" s="5"/>
      <c r="K12" s="5"/>
      <c r="L12" s="5"/>
      <c r="M12" s="5"/>
      <c r="N12" s="5"/>
      <c r="O12" s="5"/>
      <c r="P12" s="5"/>
    </row>
    <row r="13" spans="1:16" ht="20.25" thickBot="1" x14ac:dyDescent="0.3">
      <c r="A13" s="159"/>
      <c r="B13" s="5" t="s">
        <v>79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20.25" thickBot="1" x14ac:dyDescent="0.3">
      <c r="A14" s="159"/>
      <c r="B14" s="170" t="s">
        <v>82</v>
      </c>
      <c r="C14" s="170"/>
      <c r="D14" s="170"/>
      <c r="E14" s="171"/>
      <c r="F14" s="39" t="s">
        <v>43</v>
      </c>
      <c r="G14" s="40" t="s">
        <v>77</v>
      </c>
      <c r="H14" s="41" t="s">
        <v>42</v>
      </c>
      <c r="I14" s="5"/>
      <c r="J14" s="5"/>
      <c r="K14" s="5"/>
      <c r="L14" s="5"/>
      <c r="M14" s="5"/>
      <c r="N14" s="5"/>
      <c r="O14" s="5"/>
      <c r="P14" s="5"/>
    </row>
    <row r="15" spans="1:16" ht="19.5" x14ac:dyDescent="0.25">
      <c r="A15" s="159"/>
      <c r="B15" s="42" t="s">
        <v>50</v>
      </c>
      <c r="C15" s="43"/>
      <c r="D15" s="43"/>
      <c r="E15" s="43"/>
      <c r="F15" s="44" t="s">
        <v>0</v>
      </c>
      <c r="G15" s="45" t="s">
        <v>66</v>
      </c>
      <c r="H15" s="46" t="s">
        <v>35</v>
      </c>
      <c r="I15" s="5"/>
      <c r="J15" s="5"/>
      <c r="K15" s="5"/>
      <c r="L15" s="5"/>
      <c r="M15" s="5"/>
      <c r="N15" s="5"/>
      <c r="O15" s="5"/>
      <c r="P15" s="5"/>
    </row>
    <row r="16" spans="1:16" ht="19.5" x14ac:dyDescent="0.25">
      <c r="A16" s="159"/>
      <c r="B16" s="47" t="s">
        <v>39</v>
      </c>
      <c r="C16" s="48"/>
      <c r="D16" s="48"/>
      <c r="E16" s="48"/>
      <c r="F16" s="49">
        <f>H7</f>
        <v>830000</v>
      </c>
      <c r="G16" s="110">
        <f>($C$4+$C$12)*1.2</f>
        <v>19.511999999999997</v>
      </c>
      <c r="H16" s="50">
        <f>F16*G16/100</f>
        <v>161949.59999999998</v>
      </c>
      <c r="I16" s="5"/>
      <c r="J16" s="5"/>
      <c r="K16" s="5"/>
      <c r="L16" s="5"/>
      <c r="M16" s="5"/>
      <c r="N16" s="5"/>
      <c r="O16" s="5"/>
      <c r="P16" s="5"/>
    </row>
    <row r="17" spans="1:16" ht="20.25" thickBot="1" x14ac:dyDescent="0.3">
      <c r="A17" s="159"/>
      <c r="B17" s="47" t="s">
        <v>44</v>
      </c>
      <c r="C17" s="48"/>
      <c r="D17" s="48"/>
      <c r="E17" s="48"/>
      <c r="F17" s="51">
        <f>H6</f>
        <v>150000</v>
      </c>
      <c r="G17" s="111">
        <f>$C$5</f>
        <v>6</v>
      </c>
      <c r="H17" s="52">
        <f>-F17*G17/100</f>
        <v>-9000</v>
      </c>
      <c r="I17" s="5"/>
      <c r="J17" s="5"/>
      <c r="K17" s="5"/>
      <c r="L17" s="5"/>
      <c r="M17" s="5"/>
      <c r="N17" s="5"/>
      <c r="O17" s="5"/>
      <c r="P17" s="5"/>
    </row>
    <row r="18" spans="1:16" ht="20.25" thickBot="1" x14ac:dyDescent="0.3">
      <c r="A18" s="159"/>
      <c r="B18" s="53" t="s">
        <v>48</v>
      </c>
      <c r="C18" s="54"/>
      <c r="D18" s="54"/>
      <c r="E18" s="172"/>
      <c r="F18" s="172"/>
      <c r="G18" s="172"/>
      <c r="H18" s="55">
        <f>H16+H17</f>
        <v>152949.59999999998</v>
      </c>
      <c r="I18" s="5"/>
      <c r="J18" s="5"/>
      <c r="K18" s="5"/>
      <c r="L18" s="5"/>
      <c r="M18" s="5"/>
      <c r="N18" s="5"/>
      <c r="O18" s="5"/>
      <c r="P18" s="5"/>
    </row>
    <row r="19" spans="1:16" ht="21" thickBot="1" x14ac:dyDescent="0.3">
      <c r="A19" s="159"/>
      <c r="B19" s="56"/>
      <c r="C19" s="57"/>
      <c r="D19" s="57"/>
      <c r="E19" s="58"/>
      <c r="F19" s="59"/>
      <c r="G19" s="60"/>
      <c r="H19" s="61"/>
      <c r="I19" s="5"/>
      <c r="J19" s="5"/>
      <c r="K19" s="5"/>
      <c r="L19" s="5"/>
      <c r="M19" s="5"/>
      <c r="N19" s="5"/>
      <c r="O19" s="5"/>
      <c r="P19" s="5"/>
    </row>
    <row r="20" spans="1:16" ht="20.25" thickBot="1" x14ac:dyDescent="0.3">
      <c r="A20" s="159"/>
      <c r="B20" s="62" t="s">
        <v>51</v>
      </c>
      <c r="C20" s="63"/>
      <c r="D20" s="63"/>
      <c r="E20" s="63"/>
      <c r="F20" s="64" t="s">
        <v>0</v>
      </c>
      <c r="G20" s="65" t="s">
        <v>66</v>
      </c>
      <c r="H20" s="66" t="s">
        <v>35</v>
      </c>
      <c r="I20" s="5"/>
      <c r="J20" s="5"/>
      <c r="K20" s="5"/>
      <c r="L20" s="5"/>
      <c r="M20" s="5"/>
      <c r="N20" s="5"/>
      <c r="O20" s="5"/>
      <c r="P20" s="5"/>
    </row>
    <row r="21" spans="1:16" ht="19.5" x14ac:dyDescent="0.25">
      <c r="A21" s="159"/>
      <c r="B21" s="47" t="s">
        <v>46</v>
      </c>
      <c r="C21" s="48"/>
      <c r="D21" s="48"/>
      <c r="E21" s="48"/>
      <c r="F21" s="67">
        <f>H7-H9-H10</f>
        <v>592000</v>
      </c>
      <c r="G21" s="112">
        <f>($C$4+$C$12)*1.2</f>
        <v>19.511999999999997</v>
      </c>
      <c r="H21" s="68">
        <f>F21*G21/100</f>
        <v>115511.03999999998</v>
      </c>
      <c r="I21" s="5"/>
      <c r="J21" s="5"/>
      <c r="K21" s="5"/>
      <c r="L21" s="5"/>
      <c r="M21" s="5"/>
      <c r="N21" s="5"/>
      <c r="O21" s="5"/>
      <c r="P21" s="5"/>
    </row>
    <row r="22" spans="1:16" ht="19.5" x14ac:dyDescent="0.25">
      <c r="A22" s="159"/>
      <c r="B22" s="47" t="s">
        <v>52</v>
      </c>
      <c r="C22" s="48"/>
      <c r="D22" s="48"/>
      <c r="E22" s="48"/>
      <c r="F22" s="69">
        <f>H10</f>
        <v>148000</v>
      </c>
      <c r="G22" s="113">
        <f>C6</f>
        <v>10</v>
      </c>
      <c r="H22" s="70">
        <f>F22*G22/100</f>
        <v>14800</v>
      </c>
      <c r="I22" s="5"/>
      <c r="J22" s="5"/>
      <c r="K22" s="5"/>
      <c r="L22" s="5"/>
      <c r="M22" s="5"/>
      <c r="N22" s="5"/>
      <c r="O22" s="5"/>
      <c r="P22" s="5"/>
    </row>
    <row r="23" spans="1:16" ht="19.5" x14ac:dyDescent="0.25">
      <c r="A23" s="159"/>
      <c r="B23" s="47" t="s">
        <v>53</v>
      </c>
      <c r="C23" s="48"/>
      <c r="D23" s="48"/>
      <c r="E23" s="48"/>
      <c r="F23" s="69">
        <f>H11</f>
        <v>0</v>
      </c>
      <c r="G23" s="113">
        <f>C6</f>
        <v>10</v>
      </c>
      <c r="H23" s="71">
        <f>-F23*G23/100</f>
        <v>0</v>
      </c>
      <c r="I23" s="5"/>
      <c r="J23" s="5"/>
      <c r="K23" s="5"/>
      <c r="L23" s="5"/>
      <c r="M23" s="5"/>
      <c r="N23" s="5"/>
      <c r="O23" s="5"/>
      <c r="P23" s="5"/>
    </row>
    <row r="24" spans="1:16" ht="19.5" x14ac:dyDescent="0.25">
      <c r="A24" s="159"/>
      <c r="B24" s="47" t="s">
        <v>54</v>
      </c>
      <c r="C24" s="48"/>
      <c r="D24" s="48"/>
      <c r="E24" s="48"/>
      <c r="F24" s="69">
        <f>H6-H9-H11</f>
        <v>60000</v>
      </c>
      <c r="G24" s="113">
        <f>$C$5</f>
        <v>6</v>
      </c>
      <c r="H24" s="71">
        <f>-F24*G24/100</f>
        <v>-3600</v>
      </c>
      <c r="I24" s="5"/>
      <c r="J24" s="5"/>
      <c r="K24" s="5"/>
      <c r="L24" s="5"/>
      <c r="M24" s="5"/>
      <c r="N24" s="5"/>
      <c r="O24" s="5"/>
      <c r="P24" s="5"/>
    </row>
    <row r="25" spans="1:16" ht="20.25" thickBot="1" x14ac:dyDescent="0.3">
      <c r="A25" s="159"/>
      <c r="B25" s="47" t="s">
        <v>71</v>
      </c>
      <c r="C25" s="48"/>
      <c r="D25" s="48"/>
      <c r="E25" s="48"/>
      <c r="F25" s="72">
        <f>H9+H10</f>
        <v>238000</v>
      </c>
      <c r="G25" s="114">
        <f>(C12-C11)*1.2</f>
        <v>3.7286399999999995</v>
      </c>
      <c r="H25" s="73">
        <f>F25*G25/100</f>
        <v>8874.1631999999991</v>
      </c>
      <c r="I25" s="5"/>
      <c r="J25" s="5"/>
      <c r="K25" s="5"/>
      <c r="L25" s="5"/>
      <c r="M25" s="5"/>
      <c r="N25" s="5"/>
      <c r="O25" s="5"/>
      <c r="P25" s="5"/>
    </row>
    <row r="26" spans="1:16" ht="20.25" thickBot="1" x14ac:dyDescent="0.3">
      <c r="A26" s="159"/>
      <c r="B26" s="193" t="s">
        <v>72</v>
      </c>
      <c r="C26" s="194"/>
      <c r="D26" s="194"/>
      <c r="E26" s="194"/>
      <c r="F26" s="194"/>
      <c r="G26" s="195"/>
      <c r="H26" s="74">
        <f>(E36+E45)</f>
        <v>3956</v>
      </c>
      <c r="I26" s="5"/>
      <c r="J26" s="5"/>
      <c r="K26" s="5"/>
      <c r="L26" s="5"/>
      <c r="M26" s="5"/>
      <c r="N26" s="5"/>
      <c r="O26" s="5"/>
      <c r="P26" s="5"/>
    </row>
    <row r="27" spans="1:16" ht="20.25" thickBot="1" x14ac:dyDescent="0.3">
      <c r="A27" s="159"/>
      <c r="B27" s="53" t="s">
        <v>49</v>
      </c>
      <c r="C27" s="54"/>
      <c r="D27" s="54"/>
      <c r="E27" s="54"/>
      <c r="F27" s="54"/>
      <c r="G27" s="54"/>
      <c r="H27" s="55">
        <f>SUM(H21:H26)</f>
        <v>139541.20319999999</v>
      </c>
      <c r="I27" s="5"/>
      <c r="J27" s="5"/>
      <c r="K27" s="5"/>
      <c r="L27" s="5"/>
      <c r="M27" s="5"/>
      <c r="N27" s="5"/>
      <c r="O27" s="5"/>
      <c r="P27" s="5"/>
    </row>
    <row r="28" spans="1:16" ht="25.5" thickBot="1" x14ac:dyDescent="0.3">
      <c r="A28" s="159"/>
      <c r="B28" s="75" t="s">
        <v>47</v>
      </c>
      <c r="C28" s="76"/>
      <c r="D28" s="76"/>
      <c r="E28" s="76"/>
      <c r="F28" s="76"/>
      <c r="G28" s="76"/>
      <c r="H28" s="103">
        <f>H18-H27</f>
        <v>13408.396799999988</v>
      </c>
      <c r="I28" s="5"/>
      <c r="J28" s="5"/>
      <c r="K28" s="5"/>
      <c r="L28" s="5"/>
      <c r="M28" s="5"/>
      <c r="N28" s="5"/>
      <c r="O28" s="6"/>
      <c r="P28" s="6"/>
    </row>
    <row r="29" spans="1:16" ht="24" customHeight="1" thickBot="1" x14ac:dyDescent="0.3">
      <c r="A29" s="159"/>
      <c r="B29" s="23" t="s">
        <v>70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6"/>
    </row>
    <row r="30" spans="1:16" ht="29.25" customHeight="1" thickBot="1" x14ac:dyDescent="0.3">
      <c r="A30" s="159"/>
      <c r="C30" s="5"/>
      <c r="D30" s="5"/>
      <c r="E30" s="5"/>
      <c r="F30" s="180" t="s">
        <v>98</v>
      </c>
      <c r="G30" s="181"/>
      <c r="H30" s="184" t="s">
        <v>108</v>
      </c>
      <c r="I30" s="186" t="s">
        <v>100</v>
      </c>
      <c r="J30" s="184" t="s">
        <v>99</v>
      </c>
      <c r="K30" s="5"/>
      <c r="L30" s="77"/>
      <c r="M30" s="6"/>
      <c r="N30" s="5"/>
      <c r="O30" s="5"/>
      <c r="P30" s="5"/>
    </row>
    <row r="31" spans="1:16" ht="18" customHeight="1" thickBot="1" x14ac:dyDescent="0.3">
      <c r="A31" s="159"/>
      <c r="B31" s="78" t="s">
        <v>21</v>
      </c>
      <c r="C31" s="16"/>
      <c r="D31" s="16"/>
      <c r="E31" s="16"/>
      <c r="F31" s="182"/>
      <c r="G31" s="183"/>
      <c r="H31" s="185"/>
      <c r="I31" s="185"/>
      <c r="J31" s="188"/>
      <c r="K31" s="6"/>
      <c r="M31" s="146"/>
      <c r="N31" s="146"/>
      <c r="O31" s="146"/>
    </row>
    <row r="32" spans="1:16" ht="18" customHeight="1" thickBot="1" x14ac:dyDescent="0.3">
      <c r="A32" s="159"/>
      <c r="B32" s="9" t="s">
        <v>7</v>
      </c>
      <c r="C32" s="10" t="s">
        <v>2</v>
      </c>
      <c r="D32" s="10" t="s">
        <v>1</v>
      </c>
      <c r="E32" s="11" t="s">
        <v>3</v>
      </c>
      <c r="F32" s="132" t="s">
        <v>8</v>
      </c>
      <c r="G32" s="132" t="s">
        <v>1</v>
      </c>
      <c r="H32" s="202" t="s">
        <v>1</v>
      </c>
      <c r="I32" s="132" t="s">
        <v>1</v>
      </c>
      <c r="J32" s="132" t="s">
        <v>1</v>
      </c>
      <c r="L32" s="140" t="s">
        <v>23</v>
      </c>
      <c r="M32" s="174" t="s">
        <v>24</v>
      </c>
      <c r="N32" s="175"/>
      <c r="O32" s="176"/>
      <c r="P32" s="5"/>
    </row>
    <row r="33" spans="1:16" ht="18" customHeight="1" x14ac:dyDescent="0.4">
      <c r="A33" s="159"/>
      <c r="B33" s="79">
        <v>1</v>
      </c>
      <c r="C33" s="80">
        <v>200000</v>
      </c>
      <c r="D33" s="81">
        <v>1.2E-2</v>
      </c>
      <c r="E33" s="1">
        <f>IF(B33&lt;=$H$12,MIN($H$12-N(C32),C33-N(C32))*D33,0)</f>
        <v>2400</v>
      </c>
      <c r="F33" s="133" t="s">
        <v>12</v>
      </c>
      <c r="G33" s="196">
        <v>8.4600000000000009</v>
      </c>
      <c r="H33" s="134">
        <f>0.58+0.82</f>
        <v>1.4</v>
      </c>
      <c r="I33" s="199">
        <f>G33*0.28</f>
        <v>2.3688000000000007</v>
      </c>
      <c r="J33" s="117">
        <f>I33+H33</f>
        <v>3.7688000000000006</v>
      </c>
      <c r="L33" s="141"/>
      <c r="M33" s="139"/>
      <c r="N33" s="139"/>
      <c r="O33" s="142"/>
      <c r="P33" s="6"/>
    </row>
    <row r="34" spans="1:16" ht="18" customHeight="1" x14ac:dyDescent="0.4">
      <c r="A34" s="159"/>
      <c r="B34" s="82">
        <v>200001</v>
      </c>
      <c r="C34" s="83">
        <v>1000000</v>
      </c>
      <c r="D34" s="81">
        <v>0.01</v>
      </c>
      <c r="E34" s="1">
        <f t="shared" ref="E34:E35" si="0">IF(B34&lt;=$H$12,MIN($H$12-N(C33),C34-N(C33))*D34,0)</f>
        <v>1280</v>
      </c>
      <c r="F34" s="121" t="s">
        <v>11</v>
      </c>
      <c r="G34" s="197">
        <v>9.67</v>
      </c>
      <c r="H34" s="203">
        <f t="shared" ref="H34:H45" si="1">0.58+0.82</f>
        <v>1.4</v>
      </c>
      <c r="I34" s="200">
        <f t="shared" ref="I34:I45" si="2">G34*0.28</f>
        <v>2.7076000000000002</v>
      </c>
      <c r="J34" s="136">
        <f t="shared" ref="J34:J45" si="3">I34+H34</f>
        <v>4.1075999999999997</v>
      </c>
      <c r="L34" s="141" t="s">
        <v>29</v>
      </c>
      <c r="M34" s="139"/>
      <c r="N34" s="139"/>
      <c r="O34" s="142"/>
      <c r="P34" s="5"/>
    </row>
    <row r="35" spans="1:16" ht="18" customHeight="1" x14ac:dyDescent="0.4">
      <c r="A35" s="159"/>
      <c r="B35" s="82">
        <v>1000001</v>
      </c>
      <c r="C35" s="84">
        <v>5000000</v>
      </c>
      <c r="D35" s="81">
        <v>0.09</v>
      </c>
      <c r="E35" s="1">
        <f t="shared" si="0"/>
        <v>0</v>
      </c>
      <c r="F35" s="121" t="s">
        <v>13</v>
      </c>
      <c r="G35" s="197">
        <v>6.9</v>
      </c>
      <c r="H35" s="203">
        <f t="shared" si="1"/>
        <v>1.4</v>
      </c>
      <c r="I35" s="200">
        <f t="shared" si="2"/>
        <v>1.9320000000000004</v>
      </c>
      <c r="J35" s="136">
        <f t="shared" si="3"/>
        <v>3.3320000000000003</v>
      </c>
      <c r="L35" s="141"/>
      <c r="M35" s="139"/>
      <c r="N35" s="139"/>
      <c r="O35" s="142"/>
      <c r="P35" s="6"/>
    </row>
    <row r="36" spans="1:16" ht="18" customHeight="1" x14ac:dyDescent="0.4">
      <c r="A36" s="159"/>
      <c r="B36" s="85"/>
      <c r="C36" s="86"/>
      <c r="D36" s="87" t="s">
        <v>5</v>
      </c>
      <c r="E36" s="88">
        <f>SUM(E33:E35)</f>
        <v>3680</v>
      </c>
      <c r="F36" s="121" t="s">
        <v>15</v>
      </c>
      <c r="G36" s="197">
        <v>8.7899999999999991</v>
      </c>
      <c r="H36" s="203">
        <f t="shared" si="1"/>
        <v>1.4</v>
      </c>
      <c r="I36" s="200">
        <f t="shared" si="2"/>
        <v>2.4611999999999998</v>
      </c>
      <c r="J36" s="136">
        <f t="shared" si="3"/>
        <v>3.8611999999999997</v>
      </c>
      <c r="L36" s="141" t="s">
        <v>25</v>
      </c>
      <c r="M36" s="139"/>
      <c r="N36" s="139"/>
      <c r="O36" s="142"/>
      <c r="P36" s="5"/>
    </row>
    <row r="37" spans="1:16" ht="18" customHeight="1" thickBot="1" x14ac:dyDescent="0.45">
      <c r="A37" s="159"/>
      <c r="B37" s="93"/>
      <c r="C37" s="94"/>
      <c r="D37" s="94"/>
      <c r="E37" s="94"/>
      <c r="F37" s="122" t="s">
        <v>16</v>
      </c>
      <c r="G37" s="197">
        <v>6.26</v>
      </c>
      <c r="H37" s="203">
        <f t="shared" si="1"/>
        <v>1.4</v>
      </c>
      <c r="I37" s="200">
        <f t="shared" si="2"/>
        <v>1.7528000000000001</v>
      </c>
      <c r="J37" s="136">
        <f t="shared" si="3"/>
        <v>3.1528</v>
      </c>
      <c r="L37" s="141" t="s">
        <v>26</v>
      </c>
      <c r="M37" s="139"/>
      <c r="N37" s="139"/>
      <c r="O37" s="142"/>
      <c r="P37" s="6"/>
    </row>
    <row r="38" spans="1:16" ht="18" customHeight="1" x14ac:dyDescent="0.4">
      <c r="A38" s="159"/>
      <c r="B38" s="89" t="s">
        <v>36</v>
      </c>
      <c r="C38" s="90"/>
      <c r="D38" s="90"/>
      <c r="E38" s="120"/>
      <c r="F38" s="123" t="s">
        <v>14</v>
      </c>
      <c r="G38" s="197">
        <v>5.57</v>
      </c>
      <c r="H38" s="203">
        <f t="shared" si="1"/>
        <v>1.4</v>
      </c>
      <c r="I38" s="200">
        <f t="shared" si="2"/>
        <v>1.5596000000000003</v>
      </c>
      <c r="J38" s="136">
        <f t="shared" si="3"/>
        <v>2.9596</v>
      </c>
      <c r="L38" s="141" t="s">
        <v>27</v>
      </c>
      <c r="M38" s="139"/>
      <c r="N38" s="139"/>
      <c r="O38" s="142"/>
      <c r="P38" s="5"/>
    </row>
    <row r="39" spans="1:16" ht="18" customHeight="1" x14ac:dyDescent="0.4">
      <c r="A39" s="159"/>
      <c r="B39" s="9" t="s">
        <v>6</v>
      </c>
      <c r="C39" s="10" t="s">
        <v>4</v>
      </c>
      <c r="D39" s="23"/>
      <c r="E39" s="5"/>
      <c r="F39" s="123" t="s">
        <v>17</v>
      </c>
      <c r="G39" s="197">
        <v>6.59</v>
      </c>
      <c r="H39" s="203">
        <f t="shared" si="1"/>
        <v>1.4</v>
      </c>
      <c r="I39" s="200">
        <f t="shared" si="2"/>
        <v>1.8452000000000002</v>
      </c>
      <c r="J39" s="136">
        <f t="shared" si="3"/>
        <v>3.2452000000000001</v>
      </c>
      <c r="L39" s="141" t="s">
        <v>60</v>
      </c>
      <c r="M39" s="139"/>
      <c r="N39" s="139"/>
      <c r="O39" s="142"/>
      <c r="P39" s="6"/>
    </row>
    <row r="40" spans="1:16" ht="18" customHeight="1" x14ac:dyDescent="0.4">
      <c r="A40" s="159"/>
      <c r="B40" s="2">
        <v>10</v>
      </c>
      <c r="C40" s="96">
        <v>3</v>
      </c>
      <c r="D40" s="23"/>
      <c r="E40" s="5"/>
      <c r="F40" s="123" t="s">
        <v>18</v>
      </c>
      <c r="G40" s="197">
        <v>8.82</v>
      </c>
      <c r="H40" s="203">
        <f t="shared" si="1"/>
        <v>1.4</v>
      </c>
      <c r="I40" s="200">
        <f t="shared" si="2"/>
        <v>2.4696000000000002</v>
      </c>
      <c r="J40" s="136">
        <f t="shared" si="3"/>
        <v>3.8696000000000002</v>
      </c>
      <c r="L40" s="141" t="s">
        <v>62</v>
      </c>
      <c r="M40" s="139"/>
      <c r="N40" s="139"/>
      <c r="O40" s="142"/>
      <c r="P40" s="5"/>
    </row>
    <row r="41" spans="1:16" ht="18" customHeight="1" x14ac:dyDescent="0.4">
      <c r="A41" s="159"/>
      <c r="B41" s="2">
        <v>20</v>
      </c>
      <c r="C41" s="96">
        <v>3</v>
      </c>
      <c r="D41" s="23"/>
      <c r="E41" s="5"/>
      <c r="F41" s="123" t="s">
        <v>9</v>
      </c>
      <c r="G41" s="197">
        <v>5.17</v>
      </c>
      <c r="H41" s="203">
        <f t="shared" si="1"/>
        <v>1.4</v>
      </c>
      <c r="I41" s="200">
        <f t="shared" si="2"/>
        <v>1.4476000000000002</v>
      </c>
      <c r="J41" s="136">
        <f t="shared" si="3"/>
        <v>2.8475999999999999</v>
      </c>
      <c r="L41" s="141" t="s">
        <v>61</v>
      </c>
      <c r="M41" s="139"/>
      <c r="N41" s="139"/>
      <c r="O41" s="142"/>
      <c r="P41" s="6"/>
    </row>
    <row r="42" spans="1:16" ht="18" customHeight="1" x14ac:dyDescent="0.4">
      <c r="A42" s="159"/>
      <c r="B42" s="2">
        <v>30</v>
      </c>
      <c r="C42" s="96">
        <v>3</v>
      </c>
      <c r="D42" s="23"/>
      <c r="E42" s="5"/>
      <c r="F42" s="123" t="s">
        <v>76</v>
      </c>
      <c r="G42" s="197">
        <v>6.81</v>
      </c>
      <c r="H42" s="203">
        <f t="shared" si="1"/>
        <v>1.4</v>
      </c>
      <c r="I42" s="200">
        <f t="shared" si="2"/>
        <v>1.9068000000000001</v>
      </c>
      <c r="J42" s="136">
        <f t="shared" si="3"/>
        <v>3.3068</v>
      </c>
      <c r="L42" s="141" t="s">
        <v>63</v>
      </c>
      <c r="M42" s="139"/>
      <c r="N42" s="139"/>
      <c r="O42" s="142"/>
      <c r="P42" s="5"/>
    </row>
    <row r="43" spans="1:16" ht="18" customHeight="1" x14ac:dyDescent="0.4">
      <c r="A43" s="159"/>
      <c r="B43" s="2">
        <v>40</v>
      </c>
      <c r="C43" s="96">
        <v>3</v>
      </c>
      <c r="D43" s="23"/>
      <c r="E43" s="5"/>
      <c r="F43" s="123" t="s">
        <v>10</v>
      </c>
      <c r="G43" s="197">
        <v>8.0299999999999994</v>
      </c>
      <c r="H43" s="203">
        <f t="shared" si="1"/>
        <v>1.4</v>
      </c>
      <c r="I43" s="200">
        <f t="shared" si="2"/>
        <v>2.2484000000000002</v>
      </c>
      <c r="J43" s="136">
        <f t="shared" si="3"/>
        <v>3.6484000000000001</v>
      </c>
      <c r="L43" s="141" t="s">
        <v>64</v>
      </c>
      <c r="M43" s="139"/>
      <c r="N43" s="139"/>
      <c r="O43" s="142"/>
      <c r="P43" s="6"/>
    </row>
    <row r="44" spans="1:16" ht="18" customHeight="1" x14ac:dyDescent="0.4">
      <c r="A44" s="159"/>
      <c r="B44" s="3">
        <v>50</v>
      </c>
      <c r="C44" s="97">
        <v>3</v>
      </c>
      <c r="D44" s="23"/>
      <c r="E44" s="5"/>
      <c r="F44" s="123" t="s">
        <v>19</v>
      </c>
      <c r="G44" s="197">
        <v>4.96</v>
      </c>
      <c r="H44" s="203">
        <f t="shared" si="1"/>
        <v>1.4</v>
      </c>
      <c r="I44" s="200">
        <f t="shared" si="2"/>
        <v>1.3888</v>
      </c>
      <c r="J44" s="136">
        <f t="shared" si="3"/>
        <v>2.7888000000000002</v>
      </c>
      <c r="L44" s="177" t="s">
        <v>56</v>
      </c>
      <c r="M44" s="178"/>
      <c r="N44" s="178"/>
      <c r="O44" s="179"/>
      <c r="P44" s="5"/>
    </row>
    <row r="45" spans="1:16" ht="20.25" thickBot="1" x14ac:dyDescent="0.45">
      <c r="A45" s="92"/>
      <c r="B45" s="4">
        <v>100</v>
      </c>
      <c r="C45" s="98">
        <v>3</v>
      </c>
      <c r="D45" s="87" t="s">
        <v>5</v>
      </c>
      <c r="E45" s="88">
        <f>VLOOKUP(C7,B40:C45,2)*4*C8</f>
        <v>276</v>
      </c>
      <c r="F45" s="124" t="s">
        <v>20</v>
      </c>
      <c r="G45" s="198">
        <v>6.98</v>
      </c>
      <c r="H45" s="204">
        <f t="shared" si="1"/>
        <v>1.4</v>
      </c>
      <c r="I45" s="201">
        <f t="shared" si="2"/>
        <v>1.9544000000000004</v>
      </c>
      <c r="J45" s="138">
        <f t="shared" si="3"/>
        <v>3.3544</v>
      </c>
      <c r="L45" s="143" t="s">
        <v>57</v>
      </c>
      <c r="M45" s="144"/>
      <c r="N45" s="144"/>
      <c r="O45" s="145"/>
      <c r="P45" s="6"/>
    </row>
    <row r="46" spans="1:16" ht="16.5" customHeight="1" x14ac:dyDescent="0.25">
      <c r="A46" s="92"/>
      <c r="B46" s="108" t="str">
        <f>EEG_Vorteil_2026!B45</f>
        <v>Rev.16, 01_2026</v>
      </c>
      <c r="D46" s="92"/>
      <c r="E46" s="92"/>
      <c r="F46" s="189" t="s">
        <v>104</v>
      </c>
      <c r="G46" s="189"/>
      <c r="H46" s="189"/>
      <c r="I46" s="189"/>
      <c r="J46" s="189"/>
      <c r="K46" s="189"/>
      <c r="L46" s="189"/>
      <c r="M46" s="189"/>
      <c r="N46" s="189"/>
      <c r="O46" s="92"/>
      <c r="P46" s="5"/>
    </row>
    <row r="47" spans="1:16" ht="16.5" customHeight="1" x14ac:dyDescent="0.25">
      <c r="A47" s="92"/>
      <c r="C47" s="92"/>
      <c r="D47" s="92"/>
      <c r="E47" s="92"/>
      <c r="F47" s="189"/>
      <c r="G47" s="189"/>
      <c r="H47" s="189"/>
      <c r="I47" s="189"/>
      <c r="J47" s="189"/>
      <c r="K47" s="189"/>
      <c r="L47" s="189"/>
      <c r="M47" s="189"/>
      <c r="N47" s="189"/>
      <c r="O47" s="92"/>
      <c r="P47" s="92"/>
    </row>
    <row r="48" spans="1:16" ht="8.25" customHeight="1" x14ac:dyDescent="0.25">
      <c r="B48" s="128"/>
      <c r="C48" s="128"/>
      <c r="D48" s="128"/>
      <c r="E48" s="128"/>
      <c r="F48" s="128"/>
      <c r="G48" s="128"/>
      <c r="H48" s="128"/>
      <c r="I48" s="128"/>
      <c r="K48" s="92"/>
      <c r="L48" s="92"/>
    </row>
    <row r="49" spans="2:10" s="150" customFormat="1" ht="19.5" x14ac:dyDescent="0.45">
      <c r="B49" s="147" t="s">
        <v>84</v>
      </c>
      <c r="C49" s="127"/>
      <c r="D49" s="127"/>
      <c r="E49" s="128"/>
      <c r="F49" s="128"/>
      <c r="G49" s="128"/>
      <c r="H49" s="128"/>
      <c r="I49" s="128"/>
      <c r="J49" s="14"/>
    </row>
    <row r="50" spans="2:10" s="150" customFormat="1" ht="19.5" x14ac:dyDescent="0.25">
      <c r="B50" s="151" t="s">
        <v>85</v>
      </c>
      <c r="C50" s="151"/>
      <c r="D50" s="151"/>
      <c r="E50" s="152"/>
      <c r="F50" s="152"/>
      <c r="G50" s="152"/>
      <c r="H50" s="152"/>
      <c r="I50" s="128"/>
      <c r="J50" s="14"/>
    </row>
    <row r="51" spans="2:10" s="150" customFormat="1" ht="19.5" x14ac:dyDescent="0.25">
      <c r="B51" s="154" t="s">
        <v>86</v>
      </c>
      <c r="C51" s="152"/>
      <c r="D51" s="152"/>
      <c r="E51" s="152"/>
      <c r="F51" s="152"/>
      <c r="G51" s="152"/>
      <c r="H51" s="152"/>
      <c r="I51" s="128"/>
      <c r="J51" s="14"/>
    </row>
    <row r="52" spans="2:10" s="150" customFormat="1" ht="19.5" x14ac:dyDescent="0.25">
      <c r="B52" s="151" t="s">
        <v>105</v>
      </c>
      <c r="C52" s="151"/>
      <c r="D52" s="151"/>
      <c r="E52" s="152"/>
      <c r="F52" s="152"/>
      <c r="G52" s="152"/>
      <c r="H52" s="152"/>
      <c r="I52" s="128"/>
      <c r="J52" s="14"/>
    </row>
    <row r="53" spans="2:10" s="150" customFormat="1" ht="19.5" x14ac:dyDescent="0.25">
      <c r="B53" s="151" t="s">
        <v>106</v>
      </c>
      <c r="C53" s="151"/>
      <c r="D53" s="151"/>
      <c r="E53" s="152"/>
      <c r="F53" s="152"/>
      <c r="G53" s="152"/>
      <c r="H53" s="152"/>
      <c r="I53" s="128"/>
      <c r="J53" s="14"/>
    </row>
    <row r="54" spans="2:10" s="150" customFormat="1" ht="19.5" x14ac:dyDescent="0.25">
      <c r="B54" s="151"/>
      <c r="C54" s="151"/>
      <c r="D54" s="151"/>
      <c r="E54" s="152"/>
      <c r="F54" s="152"/>
      <c r="G54" s="152"/>
      <c r="H54" s="152"/>
      <c r="I54" s="128"/>
      <c r="J54" s="14"/>
    </row>
    <row r="55" spans="2:10" ht="19.5" x14ac:dyDescent="0.25">
      <c r="B55" s="151" t="s">
        <v>87</v>
      </c>
      <c r="C55" s="151"/>
      <c r="D55" s="151"/>
      <c r="E55" s="152"/>
      <c r="F55" s="152"/>
      <c r="G55" s="152"/>
      <c r="H55" s="152"/>
      <c r="I55" s="128"/>
    </row>
    <row r="56" spans="2:10" ht="19.5" x14ac:dyDescent="0.25">
      <c r="B56" s="154" t="s">
        <v>88</v>
      </c>
      <c r="C56" s="128"/>
      <c r="D56" s="128"/>
      <c r="E56" s="128"/>
      <c r="F56" s="128"/>
      <c r="G56" s="128"/>
      <c r="H56" s="128"/>
      <c r="I56" s="128"/>
    </row>
    <row r="57" spans="2:10" ht="19.5" x14ac:dyDescent="0.25">
      <c r="B57" s="151"/>
      <c r="C57" s="127"/>
      <c r="D57" s="127"/>
      <c r="E57" s="128"/>
      <c r="F57" s="128"/>
      <c r="G57" s="128"/>
      <c r="H57" s="128"/>
      <c r="I57" s="128"/>
    </row>
    <row r="58" spans="2:10" ht="19.5" x14ac:dyDescent="0.25">
      <c r="B58" s="151" t="s">
        <v>102</v>
      </c>
      <c r="C58" s="151"/>
      <c r="D58" s="151"/>
      <c r="E58" s="152"/>
      <c r="F58" s="128"/>
      <c r="G58" s="128"/>
      <c r="H58" s="128"/>
      <c r="I58" s="128"/>
    </row>
    <row r="59" spans="2:10" ht="16.5" x14ac:dyDescent="0.25">
      <c r="B59" s="173" t="s">
        <v>89</v>
      </c>
      <c r="C59" s="173"/>
      <c r="D59" s="173"/>
      <c r="E59" s="173"/>
      <c r="F59" s="173"/>
      <c r="G59" s="128"/>
      <c r="H59" s="128"/>
      <c r="I59" s="128"/>
    </row>
    <row r="60" spans="2:10" ht="19.5" x14ac:dyDescent="0.25">
      <c r="B60" s="151"/>
      <c r="C60" s="127"/>
      <c r="D60" s="127"/>
      <c r="E60" s="128"/>
      <c r="F60" s="128"/>
      <c r="G60" s="128"/>
      <c r="H60" s="128"/>
      <c r="I60" s="128"/>
    </row>
    <row r="61" spans="2:10" ht="19.5" x14ac:dyDescent="0.45">
      <c r="B61" s="147" t="s">
        <v>90</v>
      </c>
      <c r="C61" s="131"/>
      <c r="D61" s="131"/>
      <c r="E61" s="131"/>
      <c r="F61" s="131"/>
      <c r="G61" s="131"/>
      <c r="H61" s="131"/>
      <c r="I61" s="128"/>
    </row>
    <row r="62" spans="2:10" ht="19.5" x14ac:dyDescent="0.4">
      <c r="B62" s="154" t="s">
        <v>91</v>
      </c>
      <c r="C62" s="130"/>
      <c r="D62" s="130"/>
      <c r="E62" s="131"/>
      <c r="F62" s="131"/>
      <c r="G62" s="131"/>
      <c r="H62" s="131"/>
      <c r="I62" s="128"/>
    </row>
    <row r="63" spans="2:10" ht="19.5" x14ac:dyDescent="0.4">
      <c r="B63" s="153" t="s">
        <v>92</v>
      </c>
      <c r="C63" s="130"/>
      <c r="D63" s="130"/>
      <c r="E63" s="129"/>
      <c r="F63" s="131"/>
      <c r="G63" s="131"/>
      <c r="H63" s="131"/>
      <c r="I63" s="128"/>
    </row>
    <row r="64" spans="2:10" ht="19.5" x14ac:dyDescent="0.4">
      <c r="B64" s="154" t="s">
        <v>93</v>
      </c>
      <c r="C64" s="130"/>
      <c r="D64" s="130"/>
      <c r="E64" s="131"/>
      <c r="F64" s="131"/>
      <c r="G64" s="131"/>
      <c r="H64" s="131"/>
      <c r="I64" s="128"/>
    </row>
    <row r="65" spans="2:9" ht="19.5" x14ac:dyDescent="0.4">
      <c r="B65" s="154" t="s">
        <v>94</v>
      </c>
      <c r="C65" s="130"/>
      <c r="D65" s="130"/>
      <c r="E65" s="131"/>
      <c r="F65" s="131"/>
      <c r="G65" s="131"/>
      <c r="H65" s="131"/>
      <c r="I65" s="128"/>
    </row>
    <row r="66" spans="2:9" ht="19.5" x14ac:dyDescent="0.45">
      <c r="B66" s="148"/>
      <c r="C66" s="131"/>
      <c r="D66" s="131"/>
      <c r="E66" s="131"/>
      <c r="F66" s="131"/>
      <c r="G66" s="131"/>
      <c r="H66" s="131"/>
      <c r="I66" s="128"/>
    </row>
    <row r="67" spans="2:9" ht="19.5" x14ac:dyDescent="0.45">
      <c r="B67" s="147" t="s">
        <v>95</v>
      </c>
      <c r="C67" s="131"/>
      <c r="D67" s="131"/>
      <c r="E67" s="131"/>
      <c r="F67" s="131"/>
      <c r="G67" s="131"/>
      <c r="H67" s="131"/>
      <c r="I67" s="128"/>
    </row>
    <row r="68" spans="2:9" ht="19.5" x14ac:dyDescent="0.45">
      <c r="B68" s="148" t="s">
        <v>103</v>
      </c>
      <c r="C68" s="131"/>
      <c r="D68" s="131"/>
      <c r="E68" s="131"/>
      <c r="F68" s="131"/>
      <c r="G68" s="131"/>
      <c r="H68" s="131"/>
      <c r="I68" s="128"/>
    </row>
    <row r="69" spans="2:9" ht="19.5" x14ac:dyDescent="0.4">
      <c r="B69" s="149" t="s">
        <v>96</v>
      </c>
      <c r="C69" s="131"/>
      <c r="D69" s="131"/>
      <c r="E69" s="131"/>
      <c r="F69" s="131"/>
      <c r="G69" s="131"/>
      <c r="H69" s="131"/>
      <c r="I69" s="128"/>
    </row>
    <row r="70" spans="2:9" ht="19.5" x14ac:dyDescent="0.4">
      <c r="B70" s="154" t="s">
        <v>97</v>
      </c>
      <c r="C70" s="130"/>
      <c r="D70" s="130"/>
      <c r="E70" s="131"/>
      <c r="F70" s="131"/>
      <c r="G70" s="131"/>
      <c r="H70" s="131"/>
      <c r="I70" s="128"/>
    </row>
    <row r="71" spans="2:9" ht="5.25" customHeight="1" x14ac:dyDescent="0.45">
      <c r="B71" s="148"/>
      <c r="C71" s="131"/>
      <c r="D71" s="131"/>
      <c r="E71" s="131"/>
      <c r="F71" s="131"/>
      <c r="G71" s="131"/>
      <c r="H71" s="131"/>
      <c r="I71" s="128"/>
    </row>
  </sheetData>
  <sheetProtection algorithmName="SHA-512" hashValue="mdz2e8vio/80OZ3ioBR65hKpEQcsvDNA+cbJ3dbDtkNnHhqbrmL8VRdTPyfT78zZatqZgHLp6rvLrchOwUD2gg==" saltValue="xbdeBy0smu0lB3DuHDafug==" spinCount="100000" sheet="1" selectLockedCells="1"/>
  <mergeCells count="22">
    <mergeCell ref="M32:O32"/>
    <mergeCell ref="B59:F59"/>
    <mergeCell ref="F30:G31"/>
    <mergeCell ref="H30:H31"/>
    <mergeCell ref="I30:I31"/>
    <mergeCell ref="J30:J31"/>
    <mergeCell ref="E3:G3"/>
    <mergeCell ref="E4:F4"/>
    <mergeCell ref="F46:N47"/>
    <mergeCell ref="L44:O44"/>
    <mergeCell ref="A1:P1"/>
    <mergeCell ref="A2:A44"/>
    <mergeCell ref="B2:H2"/>
    <mergeCell ref="E6:G6"/>
    <mergeCell ref="E7:G7"/>
    <mergeCell ref="E8:F8"/>
    <mergeCell ref="I9:J9"/>
    <mergeCell ref="I10:J10"/>
    <mergeCell ref="I11:J11"/>
    <mergeCell ref="B14:E14"/>
    <mergeCell ref="E18:G18"/>
    <mergeCell ref="B26:G26"/>
  </mergeCells>
  <conditionalFormatting sqref="F33:F45">
    <cfRule type="cellIs" dxfId="1" priority="1" operator="equal">
      <formula>$B$20</formula>
    </cfRule>
    <cfRule type="cellIs" dxfId="0" priority="2" operator="equal">
      <formula>$B$20</formula>
    </cfRule>
  </conditionalFormatting>
  <dataValidations disablePrompts="1" count="1">
    <dataValidation type="list" allowBlank="1" showInputMessage="1" showErrorMessage="1" sqref="B11" xr:uid="{C8989EDA-700D-4C5C-98B7-0AA7D187DA20}">
      <formula1>$F$32:$F$44</formula1>
    </dataValidation>
  </dataValidations>
  <hyperlinks>
    <hyperlink ref="B56" r:id="rId1" location="karte" xr:uid="{7ED05B61-F25B-40FB-B901-737C0343AD61}"/>
    <hyperlink ref="B62" r:id="rId2" display="https://neoom.com/loesungen-eeg" xr:uid="{7C8E23CC-0008-4C8D-B6FB-4BA6D2CE9381}"/>
    <hyperlink ref="B63" r:id="rId3" display="https://wissen.neoom.com/stromlieferung-und-verteilung" xr:uid="{2A4301E7-633B-4297-A3A9-C1B32E41BD28}"/>
    <hyperlink ref="B64" r:id="rId4" display="https://wissen.neoom.com/schritt-fuer-schritt-anleitung-kluub" xr:uid="{CDF92D25-73F5-46B4-AD71-F5521AB01DA4}"/>
    <hyperlink ref="B65" r:id="rId5" display="https://wissen.neoom.com/erklaerung-des-tarifblattes" xr:uid="{6BC18C6D-B538-4173-8B24-1B616967953E}"/>
    <hyperlink ref="B70" r:id="rId6" xr:uid="{27CCFB45-6E26-4379-BB81-107D8A276B37}"/>
    <hyperlink ref="B51" r:id="rId7" xr:uid="{8FA27125-5A6B-433D-BD02-41BB2A77D5C2}"/>
    <hyperlink ref="B59" r:id="rId8" xr:uid="{B47FB802-664A-4EC0-9DBC-FB8F266423A3}"/>
    <hyperlink ref="E3:G3" r:id="rId9" display="Video zur Bedienung des Kalkulators" xr:uid="{124010FF-8D80-4A44-B138-BD8B029902BA}"/>
  </hyperlinks>
  <pageMargins left="0.7" right="0.7" top="0.78740157499999996" bottom="0.78740157499999996" header="0.3" footer="0.3"/>
  <pageSetup paperSize="9" scale="50" fitToWidth="0" orientation="portrait" r:id="rId10"/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criptIds xmlns="http://schemas.microsoft.com/office/extensibility/maker/v1.0" id="script-ids-node-id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B78947F274584DAEA43C7ADA6E7636" ma:contentTypeVersion="20" ma:contentTypeDescription="Ein neues Dokument erstellen." ma:contentTypeScope="" ma:versionID="a9cf608af2cc6572df126deb851e66a6">
  <xsd:schema xmlns:xsd="http://www.w3.org/2001/XMLSchema" xmlns:xs="http://www.w3.org/2001/XMLSchema" xmlns:p="http://schemas.microsoft.com/office/2006/metadata/properties" xmlns:ns2="c34c2743-258f-44a3-8d49-84205cb5a5cb" xmlns:ns3="3b0e6e6b-f86b-488d-8017-ba40a91247ec" targetNamespace="http://schemas.microsoft.com/office/2006/metadata/properties" ma:root="true" ma:fieldsID="fbd77980e825bbd0632e523eaf2a1e9f" ns2:_="" ns3:_="">
    <xsd:import namespace="c34c2743-258f-44a3-8d49-84205cb5a5cb"/>
    <xsd:import namespace="3b0e6e6b-f86b-488d-8017-ba40a91247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c2743-258f-44a3-8d49-84205cb5a5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description="" ma:hidden="true" ma:list="{bddddda4-c1aa-450a-ae22-b4823b615a95}" ma:internalName="TaxCatchAll" ma:showField="CatchAllData" ma:web="c34c2743-258f-44a3-8d49-84205cb5a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6e6b-f86b-488d-8017-ba40a9124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e72187a-74fa-472b-8043-615bde5e9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e6e6b-f86b-488d-8017-ba40a91247ec">
      <Terms xmlns="http://schemas.microsoft.com/office/infopath/2007/PartnerControls"/>
    </lcf76f155ced4ddcb4097134ff3c332f>
    <_Flow_SignoffStatus xmlns="3b0e6e6b-f86b-488d-8017-ba40a91247ec" xsi:nil="true"/>
    <TaxCatchAll xmlns="c34c2743-258f-44a3-8d49-84205cb5a5cb" xsi:nil="true"/>
  </documentManagement>
</p:properties>
</file>

<file path=customXml/itemProps1.xml><?xml version="1.0" encoding="utf-8"?>
<ds:datastoreItem xmlns:ds="http://schemas.openxmlformats.org/officeDocument/2006/customXml" ds:itemID="{B8563592-6DD0-4B65-AF35-D66184ECDF30}">
  <ds:schemaRefs>
    <ds:schemaRef ds:uri="http://schemas.microsoft.com/office/extensibility/maker/v1.0"/>
  </ds:schemaRefs>
</ds:datastoreItem>
</file>

<file path=customXml/itemProps2.xml><?xml version="1.0" encoding="utf-8"?>
<ds:datastoreItem xmlns:ds="http://schemas.openxmlformats.org/officeDocument/2006/customXml" ds:itemID="{55746AAC-4675-47C3-AA73-F616AD3F8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c2743-258f-44a3-8d49-84205cb5a5cb"/>
    <ds:schemaRef ds:uri="3b0e6e6b-f86b-488d-8017-ba40a9124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437B5A-A544-42DE-B245-22E586C33E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C57BB5-9A84-4F54-A13F-1FB915534F63}">
  <ds:schemaRefs>
    <ds:schemaRef ds:uri="http://schemas.microsoft.com/office/2006/metadata/properties"/>
    <ds:schemaRef ds:uri="http://schemas.microsoft.com/office/infopath/2007/PartnerControls"/>
    <ds:schemaRef ds:uri="3b0e6e6b-f86b-488d-8017-ba40a91247ec"/>
    <ds:schemaRef ds:uri="c34c2743-258f-44a3-8d49-84205cb5a5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EEG_Vorteil_2026</vt:lpstr>
      <vt:lpstr>EEG_Details_2026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Lafer</dc:creator>
  <cp:lastModifiedBy>Markus Lafer</cp:lastModifiedBy>
  <cp:lastPrinted>2023-11-15T11:54:19Z</cp:lastPrinted>
  <dcterms:created xsi:type="dcterms:W3CDTF">2023-05-18T03:21:04Z</dcterms:created>
  <dcterms:modified xsi:type="dcterms:W3CDTF">2026-01-27T20:01:07Z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0x01010096B78947F274584DAEA43C7ADA6E7636</vt:lpwstr>
  </property>
  <property fmtid="{D5CDD505-2E9C-101B-9397-08002B2CF9AE}" pid="3" name="MediaServiceImageTags">
    <vt:lpwstr/>
  </property>
</Properties>
</file>