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hometec-my.sharepoint.com/personal/markus_lafer_neoom_com/Documents/"/>
    </mc:Choice>
  </mc:AlternateContent>
  <xr:revisionPtr revIDLastSave="0" documentId="8_{54A51C80-3462-4C15-A5D3-F105FDB3C416}" xr6:coauthVersionLast="47" xr6:coauthVersionMax="47" xr10:uidLastSave="{00000000-0000-0000-0000-000000000000}"/>
  <workbookProtection workbookAlgorithmName="SHA-512" workbookHashValue="+dqwjQQZnzmKbuSEokmHxazfnEUZ6bkM0OZIo+NdDwrKS052Id3XOBvrRAhH0Ne5itK4nJdK+4Lvq8DivgST3g==" workbookSaltValue="CFrhemI/CUZcKEp6SABJpQ==" workbookSpinCount="100000" lockStructure="1"/>
  <bookViews>
    <workbookView xWindow="-28920" yWindow="-120" windowWidth="29040" windowHeight="15720" tabRatio="527" firstSheet="1" activeTab="1" xr2:uid="{00000000-000D-0000-FFFF-FFFF00000000}"/>
  </bookViews>
  <sheets>
    <sheet name="Kompakt2026" sheetId="5" r:id="rId1"/>
    <sheet name="Details2026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5" l="1"/>
  <c r="M10" i="5"/>
  <c r="N8" i="5"/>
  <c r="M7" i="5"/>
  <c r="M10" i="6"/>
  <c r="M11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C22" i="6" s="1"/>
  <c r="R12" i="6" s="1"/>
  <c r="V22" i="6"/>
  <c r="U6" i="5"/>
  <c r="U7" i="5"/>
  <c r="U8" i="5"/>
  <c r="U9" i="5"/>
  <c r="U10" i="5"/>
  <c r="U11" i="5"/>
  <c r="U12" i="5"/>
  <c r="U13" i="5"/>
  <c r="U14" i="5"/>
  <c r="U15" i="5"/>
  <c r="U16" i="5"/>
  <c r="U5" i="5"/>
  <c r="U4" i="5"/>
  <c r="C22" i="5" s="1"/>
  <c r="M9" i="5" s="1"/>
  <c r="V22" i="5"/>
  <c r="Q8" i="6"/>
  <c r="V12" i="6"/>
  <c r="V8" i="6"/>
  <c r="B23" i="6"/>
  <c r="Q8" i="5"/>
  <c r="V16" i="6"/>
  <c r="V15" i="6"/>
  <c r="V14" i="6"/>
  <c r="V13" i="6"/>
  <c r="V11" i="6"/>
  <c r="V10" i="6"/>
  <c r="V9" i="6"/>
  <c r="N8" i="6"/>
  <c r="V7" i="6"/>
  <c r="M7" i="6"/>
  <c r="V6" i="6"/>
  <c r="V5" i="6"/>
  <c r="E5" i="6"/>
  <c r="V4" i="6"/>
  <c r="E4" i="6"/>
  <c r="E6" i="6" s="1"/>
  <c r="O18" i="5"/>
  <c r="E4" i="5"/>
  <c r="M9" i="6" l="1"/>
  <c r="W4" i="6"/>
  <c r="M13" i="5"/>
  <c r="M14" i="5" s="1"/>
  <c r="W16" i="6"/>
  <c r="W8" i="6"/>
  <c r="W11" i="6"/>
  <c r="W12" i="6"/>
  <c r="W6" i="6"/>
  <c r="W7" i="6"/>
  <c r="C21" i="6" s="1"/>
  <c r="N9" i="6" s="1"/>
  <c r="W9" i="6"/>
  <c r="W10" i="6"/>
  <c r="W5" i="6"/>
  <c r="W13" i="6"/>
  <c r="W14" i="6"/>
  <c r="W15" i="6"/>
  <c r="M13" i="6"/>
  <c r="M14" i="6" s="1"/>
  <c r="G7" i="6" s="1"/>
  <c r="R6" i="6"/>
  <c r="R5" i="6"/>
  <c r="R4" i="6"/>
  <c r="I3" i="6"/>
  <c r="R13" i="6" l="1"/>
  <c r="I4" i="6" s="1"/>
  <c r="R7" i="6"/>
  <c r="N12" i="6" s="1"/>
  <c r="I2" i="6"/>
  <c r="H7" i="5"/>
  <c r="R12" i="5"/>
  <c r="I3" i="5" s="1"/>
  <c r="N13" i="6" l="1"/>
  <c r="N14" i="6" s="1"/>
  <c r="I7" i="6" s="1"/>
  <c r="V16" i="5"/>
  <c r="W16" i="5" s="1"/>
  <c r="V15" i="5"/>
  <c r="W15" i="5" s="1"/>
  <c r="V14" i="5"/>
  <c r="W14" i="5" s="1"/>
  <c r="V13" i="5"/>
  <c r="W13" i="5" s="1"/>
  <c r="V12" i="5"/>
  <c r="W12" i="5" s="1"/>
  <c r="V11" i="5"/>
  <c r="W11" i="5" s="1"/>
  <c r="C21" i="5" s="1"/>
  <c r="N9" i="5" s="1"/>
  <c r="V10" i="5"/>
  <c r="W10" i="5" s="1"/>
  <c r="V9" i="5"/>
  <c r="W9" i="5" s="1"/>
  <c r="V8" i="5"/>
  <c r="W8" i="5" s="1"/>
  <c r="V7" i="5"/>
  <c r="W7" i="5" s="1"/>
  <c r="V6" i="5"/>
  <c r="W6" i="5" s="1"/>
  <c r="V5" i="5"/>
  <c r="W5" i="5" s="1"/>
  <c r="V4" i="5"/>
  <c r="W4" i="5" s="1"/>
  <c r="R13" i="5" l="1"/>
  <c r="E5" i="5" l="1"/>
  <c r="E6" i="5" l="1"/>
  <c r="R6" i="5" s="1"/>
  <c r="R5" i="5" l="1"/>
  <c r="R4" i="5"/>
  <c r="R7" i="5" l="1"/>
  <c r="N12" i="5" l="1"/>
  <c r="N13" i="5" s="1"/>
  <c r="N14" i="5" s="1"/>
  <c r="I7" i="5" s="1"/>
  <c r="I4" i="5"/>
  <c r="I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Markus Lafer</author>
  </authors>
  <commentList>
    <comment ref="D4" authorId="0" shapeId="0" xr:uid="{B6734824-6406-4CFA-9B1B-E8F0A004FF7B}">
      <text>
        <r>
          <rPr>
            <b/>
            <sz val="9"/>
            <color indexed="81"/>
            <rFont val="Segoe UI"/>
            <family val="2"/>
          </rPr>
          <t>Markus Lafer:</t>
        </r>
        <r>
          <rPr>
            <sz val="9"/>
            <color indexed="81"/>
            <rFont val="Segoe UI"/>
            <family val="2"/>
          </rPr>
          <t xml:space="preserve">
PV-Einspeisen typ. 30-70% im Jahresschnitt, abhängig von Abnahme</t>
        </r>
      </text>
    </comment>
    <comment ref="D5" authorId="0" shapeId="0" xr:uid="{C20AE78A-DBD4-47C5-A588-0A553423D0B0}">
      <text>
        <r>
          <rPr>
            <b/>
            <sz val="9"/>
            <color indexed="81"/>
            <rFont val="Segoe UI"/>
            <family val="2"/>
          </rPr>
          <t>Markus Lafer:</t>
        </r>
        <r>
          <rPr>
            <sz val="9"/>
            <color indexed="81"/>
            <rFont val="Segoe UI"/>
            <family val="2"/>
          </rPr>
          <t xml:space="preserve">
 Bezug: nur PV typ. 25-50 %, mit Wasserkraft oder Speicher 60-80 %</t>
        </r>
      </text>
    </comment>
    <comment ref="C19" authorId="0" shapeId="0" xr:uid="{16CE7615-BF46-4A45-8903-2E3439FF6B7B}">
      <text>
        <r>
          <rPr>
            <b/>
            <sz val="9"/>
            <color indexed="81"/>
            <rFont val="Segoe UI"/>
            <family val="2"/>
          </rPr>
          <t>Markus Lafer:</t>
        </r>
        <r>
          <rPr>
            <sz val="9"/>
            <color indexed="81"/>
            <rFont val="Segoe UI"/>
            <family val="2"/>
          </rPr>
          <t xml:space="preserve">
Markus Lafer:
EEG als Kleinunternehmen zahlt keine UST für Strom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Markus Lafer</author>
  </authors>
  <commentList>
    <comment ref="D4" authorId="0" shapeId="0" xr:uid="{0CFF0966-A61A-4C8C-8A84-C485D6EE7E72}">
      <text>
        <r>
          <rPr>
            <b/>
            <sz val="9"/>
            <color indexed="81"/>
            <rFont val="Segoe UI"/>
            <family val="2"/>
          </rPr>
          <t>Markus Lafer:</t>
        </r>
        <r>
          <rPr>
            <sz val="9"/>
            <color indexed="81"/>
            <rFont val="Segoe UI"/>
            <family val="2"/>
          </rPr>
          <t xml:space="preserve">
PV-Einspeisen typ. 30-70% im Jahresschnitt, abhängig von Abnahme</t>
        </r>
      </text>
    </comment>
    <comment ref="D5" authorId="0" shapeId="0" xr:uid="{121CF5A8-D067-4A93-A1FE-18BECADA0A16}">
      <text>
        <r>
          <rPr>
            <b/>
            <sz val="9"/>
            <color indexed="81"/>
            <rFont val="Segoe UI"/>
            <family val="2"/>
          </rPr>
          <t>Markus Lafer:</t>
        </r>
        <r>
          <rPr>
            <sz val="9"/>
            <color indexed="81"/>
            <rFont val="Segoe UI"/>
            <family val="2"/>
          </rPr>
          <t xml:space="preserve">
 Bezug: nur PV typ. 25-50 %, mit Wasserkraft oder Speicher 60-80 %</t>
        </r>
      </text>
    </comment>
    <comment ref="C19" authorId="0" shapeId="0" xr:uid="{5C8859EF-5D11-410C-9F13-BB7F76D381CB}">
      <text>
        <r>
          <rPr>
            <b/>
            <sz val="9"/>
            <color indexed="81"/>
            <rFont val="Segoe UI"/>
            <family val="2"/>
          </rPr>
          <t>Markus Lafer:</t>
        </r>
        <r>
          <rPr>
            <sz val="9"/>
            <color indexed="81"/>
            <rFont val="Segoe UI"/>
            <family val="2"/>
          </rPr>
          <t xml:space="preserve">
EEG als Kleinunternehmen zahlt keine UST für Strom</t>
        </r>
      </text>
    </comment>
  </commentList>
</comments>
</file>

<file path=xl/sharedStrings.xml><?xml version="1.0" encoding="utf-8"?>
<sst xmlns="http://schemas.openxmlformats.org/spreadsheetml/2006/main" count="204" uniqueCount="96">
  <si>
    <t>neoom KLUUB EEG-Kalkulator</t>
  </si>
  <si>
    <t>Servicebeitrag je kWh (Summe aus Einspeisung und Bezug), Netto:</t>
  </si>
  <si>
    <t>Netznutzungsengtelt</t>
  </si>
  <si>
    <t>Elektrizitätsabgabe &amp;
Erneuerbaren Förderb.</t>
  </si>
  <si>
    <t>- 28% Netznutzungs-entgelt</t>
  </si>
  <si>
    <t>Kostenreduktion durch EG Teilnahme (Netto)</t>
  </si>
  <si>
    <t>EEG-Anteil*</t>
  </si>
  <si>
    <t>Ersparnis/Jahr (Brutto)   ca.:</t>
  </si>
  <si>
    <t>kWh</t>
  </si>
  <si>
    <t>%</t>
  </si>
  <si>
    <t>kWh
in/aus EEG</t>
  </si>
  <si>
    <r>
      <t xml:space="preserve">Kosten </t>
    </r>
    <r>
      <rPr>
        <b/>
        <sz val="11"/>
        <color rgb="FF3C3C3C"/>
        <rFont val="Titillium Web"/>
      </rPr>
      <t>ohne</t>
    </r>
    <r>
      <rPr>
        <sz val="11"/>
        <color rgb="FF3C3C3C"/>
        <rFont val="Titillium Web"/>
      </rPr>
      <t xml:space="preserve"> EEG**</t>
    </r>
  </si>
  <si>
    <t xml:space="preserve">Von </t>
  </si>
  <si>
    <t>Bis</t>
  </si>
  <si>
    <t>Cent/kWh</t>
  </si>
  <si>
    <t>Kosten</t>
  </si>
  <si>
    <t>Netzgebiet</t>
  </si>
  <si>
    <t>Überschuss PV-Anlage</t>
  </si>
  <si>
    <t>Kosten mit EEG**</t>
  </si>
  <si>
    <t>Burgenland</t>
  </si>
  <si>
    <t>Bezug vom Netz</t>
  </si>
  <si>
    <t>Kärnten</t>
  </si>
  <si>
    <t>Stromkostenvergleich</t>
  </si>
  <si>
    <t>ohne EEG</t>
  </si>
  <si>
    <t>neoom
KLUUB</t>
  </si>
  <si>
    <t>Klagenfurt</t>
  </si>
  <si>
    <t>Summe EEG</t>
  </si>
  <si>
    <t>ct</t>
  </si>
  <si>
    <t>Strompreis EVU</t>
  </si>
  <si>
    <t xml:space="preserve">SUMME: </t>
  </si>
  <si>
    <t>Niederösterreich</t>
  </si>
  <si>
    <t xml:space="preserve">* die genaue Kostenersparnis ist abhängig vom Energie-Anteil aus/in EEG; </t>
  </si>
  <si>
    <t>Strompreis EEG</t>
  </si>
  <si>
    <r>
      <t xml:space="preserve">Betriebskosten </t>
    </r>
    <r>
      <rPr>
        <sz val="9"/>
        <color rgb="FFFF0000"/>
        <rFont val="Titillium Web"/>
      </rPr>
      <t>(Jahr), Netto</t>
    </r>
  </si>
  <si>
    <t>Oberösterreich</t>
  </si>
  <si>
    <t>** ohne Netzverluste und ohne Zählermiete und Grundgebühren</t>
  </si>
  <si>
    <t>Netzgebühren</t>
  </si>
  <si>
    <t>Betriebskosten / Quartal</t>
  </si>
  <si>
    <t>Linz</t>
  </si>
  <si>
    <t>Video Anleitung Bedienung Kalkulator</t>
  </si>
  <si>
    <t>Elektrizitätsabgabe</t>
  </si>
  <si>
    <t>ab Teilnehmer</t>
  </si>
  <si>
    <t>€/Quartal</t>
  </si>
  <si>
    <t>Salzburg</t>
  </si>
  <si>
    <t xml:space="preserve">Erneuerb. Förderbeitrag   </t>
  </si>
  <si>
    <t>Steiermark</t>
  </si>
  <si>
    <t>Servicebeitrag</t>
  </si>
  <si>
    <t>Netzkosten Netto</t>
  </si>
  <si>
    <t>Graz</t>
  </si>
  <si>
    <t>Tarife und Netz</t>
  </si>
  <si>
    <t>Berechnung für:</t>
  </si>
  <si>
    <t>Steuer</t>
  </si>
  <si>
    <t>Ersparnis Netto</t>
  </si>
  <si>
    <t xml:space="preserve">Tirol </t>
  </si>
  <si>
    <t>Arbeitspreis (netto)</t>
  </si>
  <si>
    <t>Privat</t>
  </si>
  <si>
    <t>Gesamt</t>
  </si>
  <si>
    <t>Innsbruck</t>
  </si>
  <si>
    <t>Einspeisetarif z.B. ÖMAG</t>
  </si>
  <si>
    <t>Vorarlberg</t>
  </si>
  <si>
    <t>KLUUB EEG -Tarif</t>
  </si>
  <si>
    <t>Wien</t>
  </si>
  <si>
    <t>EEG-Teilnehmer: ≥ 10</t>
  </si>
  <si>
    <t>Anzahl Standorte</t>
  </si>
  <si>
    <t>EEG UST-pflichtig (nein =0, ja=1)</t>
  </si>
  <si>
    <t>**Die tatsächlichen Netzkosten liegen inkl. Netzverlustentgelt und Grundgebühren höher! Zum Kostenvergleich mit der Energiegemeinschaftsteilnahme sind diese jedoch nicht
relevant und werden deshalb vereinfacht in der Kalkulation nicht mitgerechnet.</t>
  </si>
  <si>
    <t xml:space="preserve">Netzkostenersparnis regionale EEG                                     (Brutto)   </t>
  </si>
  <si>
    <r>
      <t>Netzgebühren und Abgaben</t>
    </r>
    <r>
      <rPr>
        <b/>
        <sz val="9"/>
        <color theme="1"/>
        <rFont val="Titillium Web"/>
      </rPr>
      <t xml:space="preserve"> ohne</t>
    </r>
    <r>
      <rPr>
        <sz val="9"/>
        <color theme="1"/>
        <rFont val="Titillium Web"/>
      </rPr>
      <t xml:space="preserve"> EEG</t>
    </r>
  </si>
  <si>
    <t>Förderbeitrag NE7</t>
  </si>
  <si>
    <t>ct/kWh</t>
  </si>
  <si>
    <t>Rev. 27; 01_2026</t>
  </si>
  <si>
    <t>neoom KLUUB</t>
  </si>
  <si>
    <t>Elektrizitätsabgabe Privat</t>
  </si>
  <si>
    <t>Unternehmen</t>
  </si>
  <si>
    <t>Elektrizitätsabgabe Firma</t>
  </si>
  <si>
    <t xml:space="preserve">Ich suche eine passende EG in meiner Region: </t>
  </si>
  <si>
    <t>Ersparnis</t>
  </si>
  <si>
    <t xml:space="preserve">Für die Suche einer EG in Deiner Region bitte in der APP registrieren und Deinen Standort und Zählpunkte in der APP eingeben: </t>
  </si>
  <si>
    <t>app.neoom.com</t>
  </si>
  <si>
    <t xml:space="preserve">Nach der Bekanntgabe der Zählpunktnummer wirst Du nach einer kurzen Wartezeit durch die Nahbereichsabfrage einer passenden EG </t>
  </si>
  <si>
    <t>in der Region zugewiesen. Erst danach kannst Du Dich verbindlich durch die Annahme der Stromverträge anmelden.</t>
  </si>
  <si>
    <t>Einblick auf eine Karte über die verfügbaren neoom-EGs unter:</t>
  </si>
  <si>
    <t>https://neoom.com/produkte/app/kluub#karte</t>
  </si>
  <si>
    <r>
      <t xml:space="preserve">Youtube Videos als Hilfestellung für die </t>
    </r>
    <r>
      <rPr>
        <b/>
        <sz val="11"/>
        <color theme="1"/>
        <rFont val="Titillium Web"/>
      </rPr>
      <t xml:space="preserve">Registrierung </t>
    </r>
    <r>
      <rPr>
        <sz val="11"/>
        <color theme="1"/>
        <rFont val="Titillium Web"/>
      </rPr>
      <t xml:space="preserve">im </t>
    </r>
    <r>
      <rPr>
        <b/>
        <sz val="11"/>
        <color theme="1"/>
        <rFont val="Titillium Web"/>
      </rPr>
      <t xml:space="preserve">KLUUB </t>
    </r>
  </si>
  <si>
    <t>https://www.youtube.com/playlist?list=PL3qdefEcGLAmZjl1VvCzxRULtSCNv9lJ4</t>
  </si>
  <si>
    <t>Weiterführende Informationen:</t>
  </si>
  <si>
    <t>neoom KLUUB - allgemeine Informationen zur Energiegemeinschaft</t>
  </si>
  <si>
    <t>neoom KLUUB - Wie funktioniert die Aufteilung des Stroms</t>
  </si>
  <si>
    <t>neoom KLUUB - Schritt für Schritt zu Ihrer Energiegemeinschaft</t>
  </si>
  <si>
    <t>neoom KLUUB - Erklärung des Tarifblattes</t>
  </si>
  <si>
    <t xml:space="preserve">Ich möchte für meine Region aktiv werden: </t>
  </si>
  <si>
    <t>Wenn Du in Deiner Region aktiv werden willst um weitere Personen für die Energiegemeinschaften zu begeistern, haben wir hier</t>
  </si>
  <si>
    <t xml:space="preserve">Unterstützungsmaterialien (Zeitungsartikel, Grafiken, Flyer) zur weiteren Verwendung! </t>
  </si>
  <si>
    <t>https://neoom.com/partner-downloads-kluub</t>
  </si>
  <si>
    <r>
      <t xml:space="preserve">Betriebskosten </t>
    </r>
    <r>
      <rPr>
        <sz val="9"/>
        <color theme="1"/>
        <rFont val="Titillium Web"/>
      </rPr>
      <t>(Jahr)</t>
    </r>
    <r>
      <rPr>
        <b/>
        <sz val="9"/>
        <color theme="1"/>
        <rFont val="Titillium Web"/>
      </rPr>
      <t xml:space="preserve">, </t>
    </r>
    <r>
      <rPr>
        <sz val="9"/>
        <color theme="1"/>
        <rFont val="Titillium Web"/>
      </rPr>
      <t>Netto</t>
    </r>
  </si>
  <si>
    <t>**Die tatsächlichen Netzkosten liegen inkl. Netzverlustentgelt und Grundgebühren höher! Zum Kostenvergleich mit der Energiegemeinschaftsteilnahme sind diese jedoch nicht relevant und werden deshalb vereinfacht in der Kalkulation nicht mitgerechnet.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</si>
</sst>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_-&quot;€&quot;\ * #,##0.00_-;\-&quot;€&quot;\ * #,##0.00_-;_-&quot;€&quot;\ * &quot;-&quot;??_-;_-@_-"/>
    <numFmt numFmtId="166" formatCode="_-* #,##0_-;\-* #,##0_-;_-* &quot;-&quot;??_-;_-@_-"/>
    <numFmt numFmtId="167" formatCode="_-&quot;€&quot;\ * #,##0.000_-;\-&quot;€&quot;\ * #,##0.000_-;_-&quot;€&quot;\ * &quot;-&quot;??_-;_-@_-"/>
    <numFmt numFmtId="168" formatCode="0.0"/>
    <numFmt numFmtId="169" formatCode="#,##0.00_ ;\-#,##0.00\ "/>
    <numFmt numFmtId="170" formatCode="_-&quot;€&quot;\ * #,##0.0_-;\-&quot;€&quot;\ * #,##0.0_-;_-&quot;€&quot;\ * &quot;-&quot;??_-;_-@_-"/>
    <numFmt numFmtId="171" formatCode="_-* #,##0.0\ _€_-;\-* #,##0.0\ _€_-;_-* &quot;-&quot;?\ _€_-;_-@_-"/>
    <numFmt numFmtId="172" formatCode="_-* #,##0.00\ _€_-;\-* #,##0.00\ _€_-;_-* &quot;-&quot;??\ _€_-;_-@_-"/>
    <numFmt numFmtId="173" formatCode="#,##0.0_ ;\-#,##0.0\ 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212529"/>
      <name val="Titillium Web"/>
    </font>
    <font>
      <sz val="9"/>
      <color rgb="FF3C3C3C"/>
      <name val="Titillium Web"/>
    </font>
    <font>
      <sz val="9"/>
      <color theme="1"/>
      <name val="Titillium Web"/>
    </font>
    <font>
      <b/>
      <sz val="9"/>
      <color rgb="FF3C3C3C"/>
      <name val="Titillium Web"/>
    </font>
    <font>
      <b/>
      <sz val="9"/>
      <color theme="1"/>
      <name val="Titillium Web"/>
    </font>
    <font>
      <b/>
      <sz val="9"/>
      <color rgb="FFFF0000"/>
      <name val="Titillium Web"/>
    </font>
    <font>
      <sz val="9"/>
      <color rgb="FFFF0000"/>
      <name val="Titillium Web"/>
    </font>
    <font>
      <b/>
      <sz val="18"/>
      <color rgb="FF3C3C3C"/>
      <name val="Titillium Web"/>
    </font>
    <font>
      <u/>
      <sz val="11"/>
      <color theme="10"/>
      <name val="Calibri"/>
      <family val="2"/>
      <scheme val="minor"/>
    </font>
    <font>
      <b/>
      <sz val="11"/>
      <color theme="1"/>
      <name val="Titillium Web"/>
    </font>
    <font>
      <sz val="11"/>
      <color rgb="FF3C3C3C"/>
      <name val="Titillium Web"/>
    </font>
    <font>
      <b/>
      <sz val="11"/>
      <color rgb="FFFF0000"/>
      <name val="Titillium Web"/>
    </font>
    <font>
      <sz val="11"/>
      <color theme="1"/>
      <name val="Titillium Web"/>
    </font>
    <font>
      <b/>
      <sz val="11"/>
      <color rgb="FFFF0000"/>
      <name val="Calibri"/>
      <family val="2"/>
      <scheme val="minor"/>
    </font>
    <font>
      <sz val="10"/>
      <color rgb="FF3C3C3C"/>
      <name val="Titillium Web"/>
    </font>
    <font>
      <sz val="11"/>
      <color rgb="FFEB5032"/>
      <name val="Titillium Web"/>
    </font>
    <font>
      <sz val="11"/>
      <color rgb="FF96C446"/>
      <name val="Titillium Web"/>
    </font>
    <font>
      <b/>
      <sz val="11"/>
      <color rgb="FF3C3C3C"/>
      <name val="Titillium Web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theme="0"/>
      <name val="Titillium Web"/>
    </font>
    <font>
      <b/>
      <sz val="9"/>
      <color theme="0"/>
      <name val="Titillium Web"/>
    </font>
    <font>
      <sz val="11"/>
      <color theme="0"/>
      <name val="Titillium Web"/>
    </font>
    <font>
      <b/>
      <sz val="14"/>
      <color theme="1"/>
      <name val="Titillium Web"/>
    </font>
    <font>
      <b/>
      <sz val="16"/>
      <color rgb="FF3C3C3C"/>
      <name val="Titillium Web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FEA"/>
        <bgColor indexed="64"/>
      </patternFill>
    </fill>
    <fill>
      <patternFill patternType="solid">
        <fgColor rgb="FFECF3D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50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3C3C3C"/>
      </right>
      <top style="medium">
        <color rgb="FF3C3C3C"/>
      </top>
      <bottom/>
      <diagonal/>
    </border>
    <border>
      <left/>
      <right style="medium">
        <color rgb="FF3C3C3C"/>
      </right>
      <top/>
      <bottom/>
      <diagonal/>
    </border>
    <border>
      <left/>
      <right style="medium">
        <color rgb="FF3C3C3C"/>
      </right>
      <top/>
      <bottom style="medium">
        <color rgb="FF3C3C3C"/>
      </bottom>
      <diagonal/>
    </border>
    <border>
      <left/>
      <right/>
      <top style="medium">
        <color rgb="FF3C3C3C"/>
      </top>
      <bottom/>
      <diagonal/>
    </border>
    <border>
      <left/>
      <right style="medium">
        <color rgb="FF3C3C3C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3C3C3C"/>
      </top>
      <bottom/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 style="medium">
        <color rgb="FFEB5032"/>
      </top>
      <bottom/>
      <diagonal/>
    </border>
    <border>
      <left style="medium">
        <color rgb="FFEB5032"/>
      </left>
      <right style="medium">
        <color rgb="FFEB5032"/>
      </right>
      <top style="medium">
        <color rgb="FFEB5032"/>
      </top>
      <bottom style="medium">
        <color rgb="FFEB5032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/>
      <diagonal/>
    </border>
    <border>
      <left style="medium">
        <color rgb="FFEB5032"/>
      </left>
      <right style="medium">
        <color rgb="FFEB5032"/>
      </right>
      <top style="medium">
        <color rgb="FFEB5032"/>
      </top>
      <bottom/>
      <diagonal/>
    </border>
    <border>
      <left style="thin">
        <color rgb="FF3C3C3C"/>
      </left>
      <right style="medium">
        <color indexed="64"/>
      </right>
      <top style="medium">
        <color indexed="64"/>
      </top>
      <bottom/>
      <diagonal/>
    </border>
    <border>
      <left style="medium">
        <color rgb="FF3C3C3C"/>
      </left>
      <right style="thin">
        <color rgb="FF3C3C3C"/>
      </right>
      <top style="thin">
        <color rgb="FF3C3C3C"/>
      </top>
      <bottom style="medium">
        <color rgb="FFEB5032"/>
      </bottom>
      <diagonal/>
    </border>
    <border>
      <left style="medium">
        <color rgb="FF3C3C3C"/>
      </left>
      <right/>
      <top style="medium">
        <color rgb="FF3C3C3C"/>
      </top>
      <bottom/>
      <diagonal/>
    </border>
    <border>
      <left style="medium">
        <color rgb="FF3C3C3C"/>
      </left>
      <right style="medium">
        <color rgb="FF3C3C3C"/>
      </right>
      <top/>
      <bottom style="medium">
        <color rgb="FF3C3C3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3C3C3C"/>
      </right>
      <top style="thin">
        <color rgb="FF3C3C3C"/>
      </top>
      <bottom style="medium">
        <color rgb="FF3C3C3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3C3C3C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EB5032"/>
      </bottom>
      <diagonal/>
    </border>
    <border>
      <left style="medium">
        <color rgb="FFFF0000"/>
      </left>
      <right style="medium">
        <color rgb="FFFF0000"/>
      </right>
      <top style="medium">
        <color rgb="FFEB5032"/>
      </top>
      <bottom/>
      <diagonal/>
    </border>
    <border>
      <left style="medium">
        <color rgb="FFFF0000"/>
      </left>
      <right style="medium">
        <color rgb="FFFF0000"/>
      </right>
      <top style="medium">
        <color rgb="FFEB5032"/>
      </top>
      <bottom style="medium">
        <color rgb="FFEB5032"/>
      </bottom>
      <diagonal/>
    </border>
    <border>
      <left style="medium">
        <color rgb="FFFF0000"/>
      </left>
      <right style="medium">
        <color rgb="FFFF0000"/>
      </right>
      <top style="medium">
        <color rgb="FFEB5032"/>
      </top>
      <bottom style="medium">
        <color rgb="FFFF0000"/>
      </bottom>
      <diagonal/>
    </border>
    <border>
      <left style="medium">
        <color rgb="FFEB5032"/>
      </left>
      <right style="medium">
        <color rgb="FF3C3C3C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rgb="FF3C3C3C"/>
      </top>
      <bottom/>
      <diagonal/>
    </border>
    <border>
      <left style="medium">
        <color indexed="64"/>
      </left>
      <right style="medium">
        <color rgb="FF3C3C3C"/>
      </right>
      <top style="thin">
        <color rgb="FF3C3C3C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rgb="FFFF0000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FF0000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 style="medium">
        <color rgb="FF3C3C3C"/>
      </left>
      <right/>
      <top style="medium">
        <color theme="1"/>
      </top>
      <bottom style="medium">
        <color indexed="64"/>
      </bottom>
      <diagonal/>
    </border>
    <border>
      <left style="medium">
        <color rgb="FF3C3C3C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thin">
        <color rgb="FF3C3C3C"/>
      </top>
      <bottom style="medium">
        <color rgb="FF3C3C3C"/>
      </bottom>
      <diagonal/>
    </border>
    <border>
      <left style="medium">
        <color theme="1"/>
      </left>
      <right style="thin">
        <color rgb="FF3C3C3C"/>
      </right>
      <top style="thin">
        <color rgb="FF3C3C3C"/>
      </top>
      <bottom style="medium">
        <color rgb="FF3C3C3C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33">
    <xf numFmtId="0" fontId="0" fillId="0" borderId="0" xfId="0"/>
    <xf numFmtId="0" fontId="10" fillId="0" borderId="0" xfId="3" applyFill="1" applyAlignment="1" applyProtection="1">
      <alignment horizontal="center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1" xfId="1" applyNumberFormat="1" applyFont="1" applyFill="1" applyBorder="1" applyAlignment="1" applyProtection="1">
      <alignment horizontal="center" vertical="center"/>
      <protection locked="0"/>
    </xf>
    <xf numFmtId="168" fontId="17" fillId="0" borderId="48" xfId="0" applyNumberFormat="1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168" fontId="12" fillId="0" borderId="50" xfId="0" applyNumberFormat="1" applyFont="1" applyBorder="1" applyAlignment="1" applyProtection="1">
      <alignment horizontal="center" vertical="center"/>
      <protection locked="0"/>
    </xf>
    <xf numFmtId="1" fontId="12" fillId="0" borderId="49" xfId="0" applyNumberFormat="1" applyFont="1" applyBorder="1" applyAlignment="1" applyProtection="1">
      <alignment horizontal="center" vertical="center"/>
      <protection locked="0"/>
    </xf>
    <xf numFmtId="1" fontId="12" fillId="0" borderId="51" xfId="0" applyNumberFormat="1" applyFont="1" applyBorder="1" applyAlignment="1" applyProtection="1">
      <alignment horizontal="center" vertical="center"/>
      <protection locked="0"/>
    </xf>
    <xf numFmtId="1" fontId="12" fillId="0" borderId="55" xfId="0" applyNumberFormat="1" applyFont="1" applyBorder="1" applyAlignment="1" applyProtection="1">
      <alignment horizontal="center" vertical="center"/>
      <protection locked="0"/>
    </xf>
    <xf numFmtId="0" fontId="10" fillId="0" borderId="0" xfId="3" applyFill="1" applyAlignment="1" applyProtection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 wrapText="1"/>
    </xf>
    <xf numFmtId="0" fontId="8" fillId="0" borderId="20" xfId="0" applyFont="1" applyBorder="1" applyAlignment="1">
      <alignment wrapText="1"/>
    </xf>
    <xf numFmtId="0" fontId="3" fillId="0" borderId="21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 indent="1"/>
    </xf>
    <xf numFmtId="166" fontId="12" fillId="0" borderId="52" xfId="1" applyNumberFormat="1" applyFont="1" applyFill="1" applyBorder="1" applyAlignment="1" applyProtection="1">
      <alignment horizontal="center" vertical="center"/>
    </xf>
    <xf numFmtId="3" fontId="4" fillId="0" borderId="78" xfId="0" quotePrefix="1" applyNumberFormat="1" applyFont="1" applyBorder="1" applyAlignment="1">
      <alignment horizontal="center"/>
    </xf>
    <xf numFmtId="3" fontId="4" fillId="0" borderId="57" xfId="0" quotePrefix="1" applyNumberFormat="1" applyFont="1" applyBorder="1" applyAlignment="1">
      <alignment horizontal="center"/>
    </xf>
    <xf numFmtId="167" fontId="4" fillId="0" borderId="60" xfId="2" applyNumberFormat="1" applyFont="1" applyBorder="1" applyAlignment="1" applyProtection="1">
      <alignment horizontal="center"/>
    </xf>
    <xf numFmtId="165" fontId="2" fillId="0" borderId="79" xfId="2" applyFont="1" applyBorder="1" applyAlignment="1" applyProtection="1">
      <alignment vertical="center"/>
    </xf>
    <xf numFmtId="0" fontId="4" fillId="0" borderId="71" xfId="0" applyFont="1" applyBorder="1" applyAlignment="1">
      <alignment horizontal="center" vertical="center"/>
    </xf>
    <xf numFmtId="2" fontId="5" fillId="0" borderId="37" xfId="0" applyNumberFormat="1" applyFont="1" applyBorder="1" applyAlignment="1">
      <alignment horizontal="center"/>
    </xf>
    <xf numFmtId="2" fontId="3" fillId="0" borderId="37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3" fillId="0" borderId="53" xfId="0" applyFont="1" applyBorder="1" applyAlignment="1">
      <alignment horizontal="left" vertical="center" wrapText="1" indent="1"/>
    </xf>
    <xf numFmtId="166" fontId="12" fillId="0" borderId="23" xfId="1" quotePrefix="1" applyNumberFormat="1" applyFont="1" applyFill="1" applyBorder="1" applyAlignment="1" applyProtection="1">
      <alignment horizontal="center" vertical="center"/>
    </xf>
    <xf numFmtId="3" fontId="4" fillId="0" borderId="69" xfId="0" applyNumberFormat="1" applyFont="1" applyBorder="1" applyAlignment="1">
      <alignment horizontal="center"/>
    </xf>
    <xf numFmtId="3" fontId="4" fillId="0" borderId="58" xfId="0" applyNumberFormat="1" applyFont="1" applyBorder="1" applyAlignment="1">
      <alignment horizontal="center"/>
    </xf>
    <xf numFmtId="167" fontId="4" fillId="0" borderId="61" xfId="2" applyNumberFormat="1" applyFont="1" applyBorder="1" applyAlignment="1" applyProtection="1">
      <alignment horizontal="center"/>
    </xf>
    <xf numFmtId="165" fontId="2" fillId="0" borderId="80" xfId="2" applyFont="1" applyBorder="1" applyAlignment="1" applyProtection="1">
      <alignment vertical="center"/>
    </xf>
    <xf numFmtId="0" fontId="4" fillId="0" borderId="72" xfId="0" applyFont="1" applyBorder="1" applyAlignment="1">
      <alignment horizontal="center" vertical="center"/>
    </xf>
    <xf numFmtId="2" fontId="5" fillId="0" borderId="56" xfId="0" applyNumberFormat="1" applyFont="1" applyBorder="1" applyAlignment="1">
      <alignment horizontal="center"/>
    </xf>
    <xf numFmtId="2" fontId="3" fillId="0" borderId="56" xfId="0" applyNumberFormat="1" applyFont="1" applyBorder="1" applyAlignment="1">
      <alignment horizontal="center"/>
    </xf>
    <xf numFmtId="2" fontId="5" fillId="0" borderId="59" xfId="0" applyNumberFormat="1" applyFont="1" applyBorder="1" applyAlignment="1">
      <alignment horizontal="center"/>
    </xf>
    <xf numFmtId="0" fontId="3" fillId="0" borderId="45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vertical="center" wrapText="1"/>
    </xf>
    <xf numFmtId="3" fontId="4" fillId="0" borderId="58" xfId="1" applyNumberFormat="1" applyFont="1" applyBorder="1" applyAlignment="1" applyProtection="1">
      <alignment horizontal="center"/>
    </xf>
    <xf numFmtId="167" fontId="4" fillId="0" borderId="62" xfId="2" applyNumberFormat="1" applyFont="1" applyBorder="1" applyAlignment="1" applyProtection="1">
      <alignment horizontal="center"/>
    </xf>
    <xf numFmtId="165" fontId="2" fillId="0" borderId="81" xfId="2" applyFont="1" applyBorder="1" applyAlignment="1" applyProtection="1">
      <alignment vertical="center"/>
    </xf>
    <xf numFmtId="0" fontId="3" fillId="0" borderId="0" xfId="0" applyFont="1"/>
    <xf numFmtId="166" fontId="4" fillId="0" borderId="0" xfId="0" applyNumberFormat="1" applyFont="1" applyAlignment="1">
      <alignment vertical="center"/>
    </xf>
    <xf numFmtId="0" fontId="4" fillId="0" borderId="69" xfId="0" applyFont="1" applyBorder="1"/>
    <xf numFmtId="0" fontId="4" fillId="0" borderId="58" xfId="0" applyFont="1" applyBorder="1"/>
    <xf numFmtId="165" fontId="3" fillId="3" borderId="40" xfId="2" applyFont="1" applyFill="1" applyBorder="1" applyAlignment="1" applyProtection="1">
      <alignment horizontal="center" vertical="center"/>
    </xf>
    <xf numFmtId="165" fontId="3" fillId="3" borderId="82" xfId="2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4" fillId="0" borderId="22" xfId="0" applyFont="1" applyBorder="1"/>
    <xf numFmtId="0" fontId="6" fillId="0" borderId="1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65" fontId="6" fillId="0" borderId="14" xfId="2" applyFont="1" applyBorder="1" applyAlignment="1" applyProtection="1">
      <alignment vertical="center"/>
    </xf>
    <xf numFmtId="0" fontId="4" fillId="0" borderId="5" xfId="0" applyFont="1" applyBorder="1"/>
    <xf numFmtId="0" fontId="4" fillId="0" borderId="73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6" fillId="0" borderId="0" xfId="0" applyFont="1"/>
    <xf numFmtId="0" fontId="4" fillId="0" borderId="66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165" fontId="3" fillId="3" borderId="84" xfId="2" applyFont="1" applyFill="1" applyBorder="1" applyAlignment="1" applyProtection="1">
      <alignment horizontal="center" vertical="center"/>
    </xf>
    <xf numFmtId="165" fontId="3" fillId="3" borderId="25" xfId="2" applyFont="1" applyFill="1" applyBorder="1" applyAlignment="1" applyProtection="1">
      <alignment horizontal="center" vertical="center"/>
    </xf>
    <xf numFmtId="0" fontId="4" fillId="0" borderId="69" xfId="0" applyFont="1" applyBorder="1" applyAlignment="1">
      <alignment horizontal="center" vertical="center"/>
    </xf>
    <xf numFmtId="165" fontId="4" fillId="0" borderId="1" xfId="2" applyFont="1" applyFill="1" applyBorder="1" applyAlignment="1" applyProtection="1">
      <alignment horizontal="center" vertical="center"/>
    </xf>
    <xf numFmtId="0" fontId="4" fillId="0" borderId="57" xfId="0" applyFont="1" applyBorder="1"/>
    <xf numFmtId="0" fontId="4" fillId="0" borderId="85" xfId="0" applyFont="1" applyBorder="1"/>
    <xf numFmtId="0" fontId="3" fillId="2" borderId="47" xfId="0" applyFont="1" applyFill="1" applyBorder="1" applyAlignment="1">
      <alignment horizontal="left" vertical="center" indent="1"/>
    </xf>
    <xf numFmtId="0" fontId="3" fillId="2" borderId="32" xfId="0" applyFont="1" applyFill="1" applyBorder="1" applyAlignment="1">
      <alignment horizontal="center" vertical="center"/>
    </xf>
    <xf numFmtId="165" fontId="4" fillId="0" borderId="58" xfId="2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right"/>
    </xf>
    <xf numFmtId="2" fontId="6" fillId="0" borderId="5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 indent="1"/>
    </xf>
    <xf numFmtId="2" fontId="6" fillId="0" borderId="68" xfId="0" applyNumberFormat="1" applyFont="1" applyBorder="1" applyAlignment="1">
      <alignment horizontal="center"/>
    </xf>
    <xf numFmtId="0" fontId="3" fillId="0" borderId="24" xfId="0" applyFont="1" applyBorder="1" applyAlignment="1">
      <alignment horizontal="left" vertical="center" wrapText="1" indent="1"/>
    </xf>
    <xf numFmtId="0" fontId="4" fillId="0" borderId="67" xfId="0" applyFont="1" applyBorder="1" applyAlignment="1">
      <alignment horizontal="center" vertical="center"/>
    </xf>
    <xf numFmtId="165" fontId="4" fillId="0" borderId="2" xfId="2" applyFont="1" applyFill="1" applyBorder="1" applyAlignment="1" applyProtection="1">
      <alignment horizontal="center" vertical="center"/>
    </xf>
    <xf numFmtId="0" fontId="4" fillId="0" borderId="86" xfId="0" applyFont="1" applyBorder="1" applyAlignment="1">
      <alignment horizontal="center" vertical="center"/>
    </xf>
    <xf numFmtId="165" fontId="4" fillId="0" borderId="87" xfId="2" applyFont="1" applyFill="1" applyBorder="1" applyAlignment="1" applyProtection="1">
      <alignment horizontal="center" vertical="center"/>
    </xf>
    <xf numFmtId="0" fontId="4" fillId="0" borderId="6" xfId="0" applyFont="1" applyBorder="1"/>
    <xf numFmtId="0" fontId="4" fillId="0" borderId="12" xfId="0" applyFont="1" applyBorder="1"/>
    <xf numFmtId="0" fontId="4" fillId="0" borderId="74" xfId="0" applyFont="1" applyBorder="1" applyAlignment="1">
      <alignment horizontal="center" vertical="center"/>
    </xf>
    <xf numFmtId="2" fontId="5" fillId="0" borderId="42" xfId="0" applyNumberFormat="1" applyFont="1" applyBorder="1" applyAlignment="1">
      <alignment horizontal="center"/>
    </xf>
    <xf numFmtId="2" fontId="3" fillId="0" borderId="42" xfId="0" applyNumberFormat="1" applyFont="1" applyBorder="1" applyAlignment="1">
      <alignment horizontal="center"/>
    </xf>
    <xf numFmtId="2" fontId="5" fillId="0" borderId="38" xfId="0" applyNumberFormat="1" applyFont="1" applyBorder="1" applyAlignment="1">
      <alignment horizontal="center"/>
    </xf>
    <xf numFmtId="0" fontId="3" fillId="0" borderId="63" xfId="0" applyFont="1" applyBorder="1" applyAlignment="1">
      <alignment horizontal="left" vertical="center" wrapText="1" indent="1"/>
    </xf>
    <xf numFmtId="0" fontId="8" fillId="0" borderId="0" xfId="0" applyFont="1"/>
    <xf numFmtId="0" fontId="16" fillId="0" borderId="0" xfId="0" applyFont="1" applyAlignment="1">
      <alignment horizontal="left" vertical="center" indent="1"/>
    </xf>
    <xf numFmtId="171" fontId="4" fillId="0" borderId="0" xfId="0" applyNumberFormat="1" applyFont="1" applyAlignment="1">
      <alignment horizontal="center"/>
    </xf>
    <xf numFmtId="170" fontId="4" fillId="0" borderId="0" xfId="0" applyNumberFormat="1" applyFont="1"/>
    <xf numFmtId="0" fontId="5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left" vertical="center" wrapText="1" indent="1"/>
    </xf>
    <xf numFmtId="0" fontId="4" fillId="0" borderId="1" xfId="0" applyFont="1" applyBorder="1"/>
    <xf numFmtId="171" fontId="4" fillId="0" borderId="1" xfId="0" applyNumberFormat="1" applyFont="1" applyBorder="1" applyAlignment="1">
      <alignment horizontal="center"/>
    </xf>
    <xf numFmtId="170" fontId="4" fillId="0" borderId="1" xfId="0" applyNumberFormat="1" applyFont="1" applyBorder="1"/>
    <xf numFmtId="172" fontId="4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4" fillId="0" borderId="0" xfId="0" applyFont="1" applyAlignment="1">
      <alignment horizontal="right" vertical="center"/>
    </xf>
    <xf numFmtId="0" fontId="11" fillId="2" borderId="89" xfId="0" applyFont="1" applyFill="1" applyBorder="1"/>
    <xf numFmtId="0" fontId="3" fillId="2" borderId="73" xfId="0" applyFont="1" applyFill="1" applyBorder="1" applyAlignment="1">
      <alignment vertical="center"/>
    </xf>
    <xf numFmtId="0" fontId="3" fillId="2" borderId="73" xfId="0" applyFont="1" applyFill="1" applyBorder="1" applyAlignment="1">
      <alignment horizontal="left" vertical="center" indent="1"/>
    </xf>
    <xf numFmtId="0" fontId="3" fillId="2" borderId="90" xfId="0" applyFont="1" applyFill="1" applyBorder="1" applyAlignment="1">
      <alignment horizontal="left" vertical="center" indent="1"/>
    </xf>
    <xf numFmtId="0" fontId="12" fillId="2" borderId="27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3" fillId="2" borderId="26" xfId="0" applyFont="1" applyFill="1" applyBorder="1" applyAlignment="1">
      <alignment horizontal="left" vertical="center" indent="1"/>
    </xf>
    <xf numFmtId="0" fontId="13" fillId="2" borderId="27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5" fillId="2" borderId="27" xfId="3" applyFont="1" applyFill="1" applyBorder="1" applyAlignment="1" applyProtection="1">
      <alignment vertical="center"/>
    </xf>
    <xf numFmtId="0" fontId="15" fillId="2" borderId="0" xfId="3" applyFont="1" applyFill="1" applyBorder="1" applyAlignment="1" applyProtection="1">
      <alignment vertical="center"/>
    </xf>
    <xf numFmtId="0" fontId="11" fillId="2" borderId="27" xfId="0" applyFont="1" applyFill="1" applyBorder="1"/>
    <xf numFmtId="0" fontId="4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4" fillId="2" borderId="27" xfId="0" applyFont="1" applyFill="1" applyBorder="1"/>
    <xf numFmtId="0" fontId="14" fillId="2" borderId="27" xfId="0" applyFont="1" applyFill="1" applyBorder="1" applyAlignment="1">
      <alignment horizontal="left" vertical="center"/>
    </xf>
    <xf numFmtId="0" fontId="14" fillId="2" borderId="57" xfId="0" applyFont="1" applyFill="1" applyBorder="1"/>
    <xf numFmtId="0" fontId="4" fillId="2" borderId="88" xfId="0" applyFont="1" applyFill="1" applyBorder="1"/>
    <xf numFmtId="0" fontId="3" fillId="2" borderId="88" xfId="0" applyFont="1" applyFill="1" applyBorder="1" applyAlignment="1">
      <alignment horizontal="left" vertical="center" indent="1"/>
    </xf>
    <xf numFmtId="0" fontId="3" fillId="2" borderId="91" xfId="0" applyFont="1" applyFill="1" applyBorder="1" applyAlignment="1">
      <alignment horizontal="left" vertical="center" indent="1"/>
    </xf>
    <xf numFmtId="0" fontId="3" fillId="6" borderId="0" xfId="0" applyFont="1" applyFill="1" applyAlignment="1">
      <alignment horizontal="left" vertical="center" indent="1"/>
    </xf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8" fillId="0" borderId="0" xfId="0" applyFont="1" applyAlignment="1">
      <alignment vertical="center" wrapText="1"/>
    </xf>
    <xf numFmtId="0" fontId="4" fillId="2" borderId="95" xfId="0" applyFont="1" applyFill="1" applyBorder="1"/>
    <xf numFmtId="168" fontId="25" fillId="2" borderId="96" xfId="0" applyNumberFormat="1" applyFont="1" applyFill="1" applyBorder="1" applyAlignment="1">
      <alignment horizontal="right" vertical="top"/>
    </xf>
    <xf numFmtId="0" fontId="25" fillId="2" borderId="97" xfId="0" applyFont="1" applyFill="1" applyBorder="1"/>
    <xf numFmtId="166" fontId="12" fillId="7" borderId="54" xfId="0" applyNumberFormat="1" applyFont="1" applyFill="1" applyBorder="1" applyAlignment="1">
      <alignment horizontal="center" vertical="center"/>
    </xf>
    <xf numFmtId="166" fontId="12" fillId="7" borderId="35" xfId="0" applyNumberFormat="1" applyFont="1" applyFill="1" applyBorder="1" applyAlignment="1">
      <alignment horizontal="center" vertical="center" wrapText="1"/>
    </xf>
    <xf numFmtId="0" fontId="3" fillId="7" borderId="55" xfId="0" applyFont="1" applyFill="1" applyBorder="1" applyAlignment="1" applyProtection="1">
      <alignment horizontal="left" vertical="center" indent="1"/>
      <protection locked="0"/>
    </xf>
    <xf numFmtId="169" fontId="19" fillId="7" borderId="65" xfId="1" applyNumberFormat="1" applyFont="1" applyFill="1" applyBorder="1" applyAlignment="1" applyProtection="1">
      <alignment vertical="center"/>
    </xf>
    <xf numFmtId="169" fontId="19" fillId="7" borderId="64" xfId="1" applyNumberFormat="1" applyFont="1" applyFill="1" applyBorder="1" applyAlignment="1" applyProtection="1">
      <alignment vertical="center"/>
    </xf>
    <xf numFmtId="168" fontId="22" fillId="0" borderId="0" xfId="0" applyNumberFormat="1" applyFont="1" applyAlignment="1">
      <alignment horizontal="center" vertical="center"/>
    </xf>
    <xf numFmtId="173" fontId="25" fillId="2" borderId="96" xfId="1" applyNumberFormat="1" applyFont="1" applyFill="1" applyBorder="1" applyAlignment="1">
      <alignment horizontal="left" vertical="top"/>
    </xf>
    <xf numFmtId="0" fontId="6" fillId="0" borderId="41" xfId="0" applyFont="1" applyBorder="1" applyAlignment="1">
      <alignment horizontal="center"/>
    </xf>
    <xf numFmtId="0" fontId="19" fillId="8" borderId="42" xfId="0" applyFont="1" applyFill="1" applyBorder="1" applyAlignment="1" applyProtection="1">
      <alignment horizontal="center" vertical="center"/>
      <protection locked="0"/>
    </xf>
    <xf numFmtId="3" fontId="8" fillId="0" borderId="69" xfId="0" applyNumberFormat="1" applyFont="1" applyBorder="1" applyAlignment="1">
      <alignment horizontal="center"/>
    </xf>
    <xf numFmtId="3" fontId="8" fillId="0" borderId="58" xfId="0" applyNumberFormat="1" applyFont="1" applyBorder="1" applyAlignment="1">
      <alignment horizontal="center"/>
    </xf>
    <xf numFmtId="167" fontId="8" fillId="0" borderId="61" xfId="2" applyNumberFormat="1" applyFont="1" applyBorder="1" applyAlignment="1" applyProtection="1">
      <alignment horizontal="center"/>
    </xf>
    <xf numFmtId="165" fontId="8" fillId="0" borderId="80" xfId="2" applyFont="1" applyBorder="1" applyAlignment="1" applyProtection="1">
      <alignment vertical="center"/>
    </xf>
    <xf numFmtId="0" fontId="8" fillId="0" borderId="72" xfId="0" applyFont="1" applyBorder="1" applyAlignment="1">
      <alignment horizontal="center" vertical="center"/>
    </xf>
    <xf numFmtId="2" fontId="7" fillId="0" borderId="56" xfId="0" applyNumberFormat="1" applyFont="1" applyBorder="1" applyAlignment="1">
      <alignment horizontal="center"/>
    </xf>
    <xf numFmtId="2" fontId="8" fillId="0" borderId="56" xfId="0" applyNumberFormat="1" applyFont="1" applyBorder="1" applyAlignment="1">
      <alignment horizontal="center"/>
    </xf>
    <xf numFmtId="2" fontId="7" fillId="0" borderId="59" xfId="0" applyNumberFormat="1" applyFont="1" applyBorder="1" applyAlignment="1">
      <alignment horizontal="center"/>
    </xf>
    <xf numFmtId="3" fontId="8" fillId="0" borderId="58" xfId="1" applyNumberFormat="1" applyFont="1" applyBorder="1" applyAlignment="1" applyProtection="1">
      <alignment horizontal="center"/>
    </xf>
    <xf numFmtId="167" fontId="8" fillId="0" borderId="62" xfId="2" applyNumberFormat="1" applyFont="1" applyBorder="1" applyAlignment="1" applyProtection="1">
      <alignment horizontal="center"/>
    </xf>
    <xf numFmtId="165" fontId="8" fillId="0" borderId="81" xfId="2" applyFont="1" applyBorder="1" applyAlignment="1" applyProtection="1">
      <alignment vertical="center"/>
    </xf>
    <xf numFmtId="0" fontId="8" fillId="0" borderId="69" xfId="0" applyFont="1" applyBorder="1"/>
    <xf numFmtId="0" fontId="8" fillId="0" borderId="58" xfId="0" applyFont="1" applyBorder="1"/>
    <xf numFmtId="165" fontId="8" fillId="3" borderId="40" xfId="2" applyFont="1" applyFill="1" applyBorder="1" applyAlignment="1" applyProtection="1">
      <alignment horizontal="center" vertical="center"/>
    </xf>
    <xf numFmtId="165" fontId="8" fillId="3" borderId="82" xfId="2" applyFont="1" applyFill="1" applyBorder="1" applyAlignment="1" applyProtection="1">
      <alignment horizontal="center" vertical="center"/>
    </xf>
    <xf numFmtId="0" fontId="7" fillId="0" borderId="16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165" fontId="7" fillId="0" borderId="14" xfId="2" applyFont="1" applyBorder="1" applyAlignment="1" applyProtection="1">
      <alignment vertical="center"/>
    </xf>
    <xf numFmtId="0" fontId="8" fillId="0" borderId="5" xfId="0" applyFont="1" applyBorder="1"/>
    <xf numFmtId="0" fontId="8" fillId="0" borderId="73" xfId="0" applyFont="1" applyBorder="1" applyAlignment="1">
      <alignment horizontal="center" vertical="center"/>
    </xf>
    <xf numFmtId="0" fontId="7" fillId="0" borderId="0" xfId="0" applyFont="1"/>
    <xf numFmtId="0" fontId="8" fillId="0" borderId="66" xfId="0" applyFont="1" applyBorder="1" applyAlignment="1">
      <alignment horizontal="center" vertical="center"/>
    </xf>
    <xf numFmtId="165" fontId="8" fillId="3" borderId="84" xfId="2" applyFont="1" applyFill="1" applyBorder="1" applyAlignment="1" applyProtection="1">
      <alignment horizontal="center" vertical="center"/>
    </xf>
    <xf numFmtId="165" fontId="8" fillId="3" borderId="25" xfId="2" applyFont="1" applyFill="1" applyBorder="1" applyAlignment="1" applyProtection="1">
      <alignment horizontal="center" vertical="center"/>
    </xf>
    <xf numFmtId="0" fontId="8" fillId="0" borderId="69" xfId="0" applyFont="1" applyBorder="1" applyAlignment="1">
      <alignment horizontal="center" vertical="center"/>
    </xf>
    <xf numFmtId="165" fontId="8" fillId="0" borderId="1" xfId="2" applyFont="1" applyFill="1" applyBorder="1" applyAlignment="1" applyProtection="1">
      <alignment horizontal="center" vertical="center"/>
    </xf>
    <xf numFmtId="0" fontId="8" fillId="0" borderId="57" xfId="0" applyFont="1" applyBorder="1"/>
    <xf numFmtId="0" fontId="8" fillId="0" borderId="85" xfId="0" applyFont="1" applyBorder="1"/>
    <xf numFmtId="165" fontId="8" fillId="0" borderId="58" xfId="2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right"/>
    </xf>
    <xf numFmtId="2" fontId="7" fillId="0" borderId="5" xfId="0" applyNumberFormat="1" applyFont="1" applyBorder="1" applyAlignment="1">
      <alignment horizontal="center"/>
    </xf>
    <xf numFmtId="2" fontId="7" fillId="0" borderId="68" xfId="0" applyNumberFormat="1" applyFont="1" applyBorder="1" applyAlignment="1">
      <alignment horizontal="center"/>
    </xf>
    <xf numFmtId="0" fontId="8" fillId="0" borderId="67" xfId="0" applyFont="1" applyBorder="1" applyAlignment="1">
      <alignment horizontal="center" vertical="center"/>
    </xf>
    <xf numFmtId="165" fontId="8" fillId="0" borderId="2" xfId="2" applyFont="1" applyFill="1" applyBorder="1" applyAlignment="1" applyProtection="1">
      <alignment horizontal="center" vertical="center"/>
    </xf>
    <xf numFmtId="0" fontId="8" fillId="0" borderId="86" xfId="0" applyFont="1" applyBorder="1" applyAlignment="1">
      <alignment horizontal="center" vertical="center"/>
    </xf>
    <xf numFmtId="165" fontId="8" fillId="0" borderId="87" xfId="2" applyFont="1" applyFill="1" applyBorder="1" applyAlignment="1" applyProtection="1">
      <alignment horizontal="center" vertical="center"/>
    </xf>
    <xf numFmtId="0" fontId="8" fillId="0" borderId="6" xfId="0" applyFont="1" applyBorder="1"/>
    <xf numFmtId="0" fontId="8" fillId="0" borderId="12" xfId="0" applyFont="1" applyBorder="1"/>
    <xf numFmtId="0" fontId="8" fillId="0" borderId="74" xfId="0" applyFont="1" applyBorder="1" applyAlignment="1">
      <alignment horizontal="center" vertical="center"/>
    </xf>
    <xf numFmtId="2" fontId="7" fillId="0" borderId="42" xfId="0" applyNumberFormat="1" applyFont="1" applyBorder="1" applyAlignment="1">
      <alignment horizontal="center"/>
    </xf>
    <xf numFmtId="2" fontId="8" fillId="0" borderId="42" xfId="0" applyNumberFormat="1" applyFont="1" applyBorder="1" applyAlignment="1">
      <alignment horizontal="center"/>
    </xf>
    <xf numFmtId="2" fontId="7" fillId="0" borderId="3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7" borderId="3" xfId="0" applyFont="1" applyFill="1" applyBorder="1" applyAlignment="1">
      <alignment horizontal="right" vertical="center"/>
    </xf>
    <xf numFmtId="0" fontId="3" fillId="7" borderId="4" xfId="0" applyFont="1" applyFill="1" applyBorder="1" applyAlignment="1">
      <alignment horizontal="right" vertical="center"/>
    </xf>
    <xf numFmtId="165" fontId="8" fillId="3" borderId="83" xfId="2" applyFont="1" applyFill="1" applyBorder="1" applyAlignment="1" applyProtection="1">
      <alignment horizontal="center" vertical="center"/>
    </xf>
    <xf numFmtId="165" fontId="8" fillId="3" borderId="43" xfId="2" applyFont="1" applyFill="1" applyBorder="1" applyAlignment="1" applyProtection="1">
      <alignment horizontal="center" vertical="center"/>
    </xf>
    <xf numFmtId="0" fontId="10" fillId="0" borderId="0" xfId="3" applyFill="1" applyAlignment="1" applyProtection="1">
      <alignment horizontal="left"/>
      <protection locked="0"/>
    </xf>
    <xf numFmtId="0" fontId="4" fillId="0" borderId="0" xfId="0" applyFont="1" applyAlignment="1">
      <alignment horizontal="left" vertical="top"/>
    </xf>
    <xf numFmtId="0" fontId="12" fillId="4" borderId="70" xfId="0" applyFont="1" applyFill="1" applyBorder="1" applyAlignment="1">
      <alignment horizontal="left" vertical="center" indent="1"/>
    </xf>
    <xf numFmtId="0" fontId="12" fillId="4" borderId="7" xfId="0" applyFont="1" applyFill="1" applyBorder="1" applyAlignment="1">
      <alignment horizontal="left" vertical="center" indent="1"/>
    </xf>
    <xf numFmtId="170" fontId="19" fillId="4" borderId="70" xfId="2" applyNumberFormat="1" applyFont="1" applyFill="1" applyBorder="1" applyAlignment="1" applyProtection="1">
      <alignment horizontal="center" vertical="center"/>
    </xf>
    <xf numFmtId="170" fontId="19" fillId="4" borderId="8" xfId="2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>
      <alignment horizontal="left" vertical="center" indent="1"/>
    </xf>
    <xf numFmtId="0" fontId="12" fillId="2" borderId="6" xfId="0" applyFont="1" applyFill="1" applyBorder="1" applyAlignment="1">
      <alignment horizontal="left" vertical="center" indent="1"/>
    </xf>
    <xf numFmtId="170" fontId="19" fillId="2" borderId="11" xfId="2" applyNumberFormat="1" applyFont="1" applyFill="1" applyBorder="1" applyAlignment="1" applyProtection="1">
      <alignment horizontal="center" vertical="center"/>
    </xf>
    <xf numFmtId="170" fontId="19" fillId="2" borderId="12" xfId="2" applyNumberFormat="1" applyFont="1" applyFill="1" applyBorder="1" applyAlignment="1" applyProtection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left" vertical="center" indent="1"/>
    </xf>
    <xf numFmtId="0" fontId="24" fillId="5" borderId="15" xfId="0" applyFont="1" applyFill="1" applyBorder="1" applyAlignment="1">
      <alignment horizontal="left" vertical="center" indent="1"/>
    </xf>
    <xf numFmtId="170" fontId="26" fillId="7" borderId="70" xfId="2" applyNumberFormat="1" applyFont="1" applyFill="1" applyBorder="1" applyAlignment="1" applyProtection="1">
      <alignment horizontal="center" vertical="center"/>
    </xf>
    <xf numFmtId="170" fontId="26" fillId="7" borderId="8" xfId="2" applyNumberFormat="1" applyFont="1" applyFill="1" applyBorder="1" applyAlignment="1" applyProtection="1">
      <alignment horizontal="center" vertical="center"/>
    </xf>
    <xf numFmtId="168" fontId="25" fillId="2" borderId="92" xfId="0" applyNumberFormat="1" applyFont="1" applyFill="1" applyBorder="1" applyAlignment="1">
      <alignment horizontal="center" vertical="top"/>
    </xf>
    <xf numFmtId="168" fontId="25" fillId="2" borderId="93" xfId="0" applyNumberFormat="1" applyFont="1" applyFill="1" applyBorder="1" applyAlignment="1">
      <alignment horizontal="center" vertical="top"/>
    </xf>
    <xf numFmtId="168" fontId="25" fillId="2" borderId="94" xfId="0" applyNumberFormat="1" applyFont="1" applyFill="1" applyBorder="1" applyAlignment="1">
      <alignment horizontal="center" vertical="top"/>
    </xf>
    <xf numFmtId="0" fontId="3" fillId="2" borderId="41" xfId="0" quotePrefix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168" fontId="25" fillId="2" borderId="95" xfId="0" applyNumberFormat="1" applyFont="1" applyFill="1" applyBorder="1" applyAlignment="1">
      <alignment horizontal="center" vertical="top"/>
    </xf>
    <xf numFmtId="168" fontId="25" fillId="2" borderId="96" xfId="0" applyNumberFormat="1" applyFont="1" applyFill="1" applyBorder="1" applyAlignment="1">
      <alignment horizontal="center" vertical="top"/>
    </xf>
    <xf numFmtId="165" fontId="3" fillId="3" borderId="83" xfId="2" applyFont="1" applyFill="1" applyBorder="1" applyAlignment="1" applyProtection="1">
      <alignment horizontal="center" vertical="center"/>
    </xf>
    <xf numFmtId="165" fontId="3" fillId="3" borderId="43" xfId="2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 wrapText="1"/>
    </xf>
  </cellXfs>
  <cellStyles count="4">
    <cellStyle name="Komma" xfId="1" builtinId="3"/>
    <cellStyle name="Link" xfId="3" builtinId="8"/>
    <cellStyle name="Standard" xfId="0" builtinId="0"/>
    <cellStyle name="Währung" xfId="2" builtinId="4"/>
  </cellStyles>
  <dxfs count="15">
    <dxf>
      <font>
        <color rgb="FF9C57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57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3C3C3C"/>
      <color rgb="FFFFEFEA"/>
      <color rgb="FFEB5032"/>
      <color rgb="FFB2B2B2"/>
      <color rgb="FFECF3DE"/>
      <color rgb="FF96C4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652615150554454E-3"/>
          <c:y val="0.18580425254340505"/>
          <c:w val="0.93888888888888888"/>
          <c:h val="0.6714577865266842"/>
        </c:manualLayout>
      </c:layout>
      <c:pie3DChart>
        <c:varyColors val="1"/>
        <c:ser>
          <c:idx val="0"/>
          <c:order val="0"/>
          <c:tx>
            <c:strRef>
              <c:f>Kompakt2026!$P$23</c:f>
            </c:strRef>
          </c:tx>
          <c:val>
            <c:numRef>
              <c:f>Kompakt2026!$P$24:$P$25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Kompakt2026!$O$24:$O$25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6A4-4FC3-B7D0-EFA5CC4FD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315464347633186"/>
          <c:y val="0.11073586077988073"/>
          <c:w val="0.83282464252470301"/>
          <c:h val="0.60841779012556674"/>
        </c:manualLayout>
      </c:layout>
      <c:bar3DChart>
        <c:barDir val="col"/>
        <c:grouping val="stacked"/>
        <c:varyColors val="0"/>
        <c:ser>
          <c:idx val="7"/>
          <c:order val="0"/>
          <c:tx>
            <c:strRef>
              <c:f>Kompakt2026!$L$7</c:f>
              <c:strCache>
                <c:ptCount val="1"/>
                <c:pt idx="0">
                  <c:v>Strompreis EVU</c:v>
                </c:pt>
              </c:strCache>
            </c:strRef>
          </c:tx>
          <c:invertIfNegative val="0"/>
          <c:cat>
            <c:strRef>
              <c:f>Kompakt2026!$M$6:$N$6</c:f>
              <c:strCache>
                <c:ptCount val="2"/>
                <c:pt idx="0">
                  <c:v>ohne EEG</c:v>
                </c:pt>
                <c:pt idx="1">
                  <c:v>neoom
KLUUB</c:v>
                </c:pt>
              </c:strCache>
            </c:strRef>
          </c:cat>
          <c:val>
            <c:numRef>
              <c:f>Kompakt2026!$M$7:$N$7</c:f>
              <c:numCache>
                <c:formatCode>0.0</c:formatCode>
                <c:ptCount val="2"/>
                <c:pt idx="0">
                  <c:v>14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C-40AA-A2EE-27391C2AD000}"/>
            </c:ext>
          </c:extLst>
        </c:ser>
        <c:ser>
          <c:idx val="8"/>
          <c:order val="1"/>
          <c:tx>
            <c:strRef>
              <c:f>Kompakt2026!$L$8</c:f>
              <c:strCache>
                <c:ptCount val="1"/>
                <c:pt idx="0">
                  <c:v>Strompreis EEG</c:v>
                </c:pt>
              </c:strCache>
            </c:strRef>
          </c:tx>
          <c:invertIfNegative val="0"/>
          <c:cat>
            <c:strRef>
              <c:f>Kompakt2026!$M$6:$N$6</c:f>
              <c:strCache>
                <c:ptCount val="2"/>
                <c:pt idx="0">
                  <c:v>ohne EEG</c:v>
                </c:pt>
                <c:pt idx="1">
                  <c:v>neoom
KLUUB</c:v>
                </c:pt>
              </c:strCache>
            </c:strRef>
          </c:cat>
          <c:val>
            <c:numRef>
              <c:f>Kompakt2026!$M$8:$N$8</c:f>
              <c:numCache>
                <c:formatCode>0.0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1C-40AA-A2EE-27391C2AD000}"/>
            </c:ext>
          </c:extLst>
        </c:ser>
        <c:ser>
          <c:idx val="9"/>
          <c:order val="2"/>
          <c:tx>
            <c:strRef>
              <c:f>Kompakt2026!$L$9</c:f>
              <c:strCache>
                <c:ptCount val="1"/>
                <c:pt idx="0">
                  <c:v>Netzgebühren</c:v>
                </c:pt>
              </c:strCache>
            </c:strRef>
          </c:tx>
          <c:invertIfNegative val="0"/>
          <c:cat>
            <c:strRef>
              <c:f>Kompakt2026!$M$6:$N$6</c:f>
              <c:strCache>
                <c:ptCount val="2"/>
                <c:pt idx="0">
                  <c:v>ohne EEG</c:v>
                </c:pt>
                <c:pt idx="1">
                  <c:v>neoom
KLUUB</c:v>
                </c:pt>
              </c:strCache>
            </c:strRef>
          </c:cat>
          <c:val>
            <c:numRef>
              <c:f>Kompakt2026!$M$9:$N$9</c:f>
              <c:numCache>
                <c:formatCode>0.0</c:formatCode>
                <c:ptCount val="2"/>
                <c:pt idx="0">
                  <c:v>6.26</c:v>
                </c:pt>
                <c:pt idx="1">
                  <c:v>4.5071999999999992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1C-40AA-A2EE-27391C2AD000}"/>
            </c:ext>
          </c:extLst>
        </c:ser>
        <c:ser>
          <c:idx val="10"/>
          <c:order val="3"/>
          <c:tx>
            <c:strRef>
              <c:f>Kompakt2026!$L$10</c:f>
              <c:strCache>
                <c:ptCount val="1"/>
                <c:pt idx="0">
                  <c:v>Elektrizitätsabgabe</c:v>
                </c:pt>
              </c:strCache>
            </c:strRef>
          </c:tx>
          <c:invertIfNegative val="0"/>
          <c:cat>
            <c:strRef>
              <c:f>Kompakt2026!$M$6:$N$6</c:f>
              <c:strCache>
                <c:ptCount val="2"/>
                <c:pt idx="0">
                  <c:v>ohne EEG</c:v>
                </c:pt>
                <c:pt idx="1">
                  <c:v>neoom
KLUUB</c:v>
                </c:pt>
              </c:strCache>
            </c:strRef>
          </c:cat>
          <c:val>
            <c:numRef>
              <c:f>Kompakt2026!$M$10:$N$10</c:f>
              <c:numCache>
                <c:formatCode>0.0</c:formatCode>
                <c:ptCount val="2"/>
                <c:pt idx="0">
                  <c:v>0.1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1C-40AA-A2EE-27391C2AD000}"/>
            </c:ext>
          </c:extLst>
        </c:ser>
        <c:ser>
          <c:idx val="11"/>
          <c:order val="4"/>
          <c:tx>
            <c:strRef>
              <c:f>Kompakt2026!$L$11</c:f>
              <c:strCache>
                <c:ptCount val="1"/>
                <c:pt idx="0">
                  <c:v>Erneuerb. Förderbeitrag   </c:v>
                </c:pt>
              </c:strCache>
            </c:strRef>
          </c:tx>
          <c:invertIfNegative val="0"/>
          <c:cat>
            <c:strRef>
              <c:f>Kompakt2026!$M$6:$N$6</c:f>
              <c:strCache>
                <c:ptCount val="2"/>
                <c:pt idx="0">
                  <c:v>ohne EEG</c:v>
                </c:pt>
                <c:pt idx="1">
                  <c:v>neoom
KLUUB</c:v>
                </c:pt>
              </c:strCache>
            </c:strRef>
          </c:cat>
          <c:val>
            <c:numRef>
              <c:f>Kompakt2026!$M$11:$N$11</c:f>
              <c:numCache>
                <c:formatCode>0.0</c:formatCode>
                <c:ptCount val="2"/>
                <c:pt idx="0">
                  <c:v>0.62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1C-40AA-A2EE-27391C2AD000}"/>
            </c:ext>
          </c:extLst>
        </c:ser>
        <c:ser>
          <c:idx val="12"/>
          <c:order val="5"/>
          <c:tx>
            <c:strRef>
              <c:f>Kompakt2026!$L$12</c:f>
              <c:strCache>
                <c:ptCount val="1"/>
                <c:pt idx="0">
                  <c:v>Servicebeitrag</c:v>
                </c:pt>
              </c:strCache>
            </c:strRef>
          </c:tx>
          <c:invertIfNegative val="0"/>
          <c:cat>
            <c:strRef>
              <c:f>Kompakt2026!$M$6:$N$6</c:f>
              <c:strCache>
                <c:ptCount val="2"/>
                <c:pt idx="0">
                  <c:v>ohne EEG</c:v>
                </c:pt>
                <c:pt idx="1">
                  <c:v>neoom
KLUUB</c:v>
                </c:pt>
              </c:strCache>
            </c:strRef>
          </c:cat>
          <c:val>
            <c:numRef>
              <c:f>Kompakt2026!$M$12:$N$12</c:f>
              <c:numCache>
                <c:formatCode>0.0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1C-40AA-A2EE-27391C2AD000}"/>
            </c:ext>
          </c:extLst>
        </c:ser>
        <c:ser>
          <c:idx val="13"/>
          <c:order val="6"/>
          <c:tx>
            <c:strRef>
              <c:f>Kompakt2026!$L$13</c:f>
              <c:strCache>
                <c:ptCount val="1"/>
                <c:pt idx="0">
                  <c:v>Steuer</c:v>
                </c:pt>
              </c:strCache>
            </c:strRef>
          </c:tx>
          <c:invertIfNegative val="0"/>
          <c:cat>
            <c:strRef>
              <c:f>Kompakt2026!$M$6:$N$6</c:f>
              <c:strCache>
                <c:ptCount val="2"/>
                <c:pt idx="0">
                  <c:v>ohne EEG</c:v>
                </c:pt>
                <c:pt idx="1">
                  <c:v>neoom
KLUUB</c:v>
                </c:pt>
              </c:strCache>
            </c:strRef>
          </c:cat>
          <c:val>
            <c:numRef>
              <c:f>Kompakt2026!$M$13:$N$13</c:f>
              <c:numCache>
                <c:formatCode>0.0</c:formatCode>
                <c:ptCount val="2"/>
                <c:pt idx="0">
                  <c:v>4.1960000000000006</c:v>
                </c:pt>
                <c:pt idx="1">
                  <c:v>3.1014400000000002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1C-40AA-A2EE-27391C2A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31278095"/>
        <c:axId val="1731278575"/>
        <c:axId val="0"/>
      </c:bar3DChart>
      <c:catAx>
        <c:axId val="1731278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31278575"/>
        <c:crosses val="autoZero"/>
        <c:auto val="1"/>
        <c:lblAlgn val="ctr"/>
        <c:lblOffset val="100"/>
        <c:noMultiLvlLbl val="0"/>
      </c:catAx>
      <c:valAx>
        <c:axId val="1731278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31278095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5681538708255578E-2"/>
          <c:y val="0.8257606983208341"/>
          <c:w val="0.96863689559748745"/>
          <c:h val="0.16146236041443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solidFill>
      <a:srgbClr val="FFEFEA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315464347633186"/>
          <c:y val="0.11073586077988073"/>
          <c:w val="0.83282464252470301"/>
          <c:h val="0.60841779012556674"/>
        </c:manualLayout>
      </c:layout>
      <c:bar3DChart>
        <c:barDir val="col"/>
        <c:grouping val="stacked"/>
        <c:varyColors val="0"/>
        <c:ser>
          <c:idx val="7"/>
          <c:order val="0"/>
          <c:tx>
            <c:strRef>
              <c:f>Details2026!$L$7</c:f>
              <c:strCache>
                <c:ptCount val="1"/>
                <c:pt idx="0">
                  <c:v>Strompreis EVU</c:v>
                </c:pt>
              </c:strCache>
            </c:strRef>
          </c:tx>
          <c:invertIfNegative val="0"/>
          <c:cat>
            <c:strLit>
              <c:ptCount val="2"/>
              <c:pt idx="0">
                <c:v>Ohne EG</c:v>
              </c:pt>
              <c:pt idx="1">
                <c:v>neoom KLUUB</c:v>
              </c:pt>
            </c:strLit>
          </c:cat>
          <c:val>
            <c:numRef>
              <c:f>Details2026!$M$7:$N$7</c:f>
              <c:numCache>
                <c:formatCode>0.0</c:formatCode>
                <c:ptCount val="2"/>
                <c:pt idx="0">
                  <c:v>12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E-4164-BFEE-0D1AC324D420}"/>
            </c:ext>
          </c:extLst>
        </c:ser>
        <c:ser>
          <c:idx val="8"/>
          <c:order val="1"/>
          <c:tx>
            <c:strRef>
              <c:f>Details2026!$L$8</c:f>
              <c:strCache>
                <c:ptCount val="1"/>
                <c:pt idx="0">
                  <c:v>Strompreis EEG</c:v>
                </c:pt>
              </c:strCache>
            </c:strRef>
          </c:tx>
          <c:invertIfNegative val="0"/>
          <c:cat>
            <c:strLit>
              <c:ptCount val="2"/>
              <c:pt idx="0">
                <c:v>Ohne EG</c:v>
              </c:pt>
              <c:pt idx="1">
                <c:v>neoom KLUUB</c:v>
              </c:pt>
            </c:strLit>
          </c:cat>
          <c:val>
            <c:numRef>
              <c:f>Details2026!$M$8:$N$8</c:f>
              <c:numCache>
                <c:formatCode>0.0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E-4164-BFEE-0D1AC324D420}"/>
            </c:ext>
          </c:extLst>
        </c:ser>
        <c:ser>
          <c:idx val="9"/>
          <c:order val="2"/>
          <c:tx>
            <c:strRef>
              <c:f>Details2026!$L$9</c:f>
              <c:strCache>
                <c:ptCount val="1"/>
                <c:pt idx="0">
                  <c:v>Netzgebühren</c:v>
                </c:pt>
              </c:strCache>
            </c:strRef>
          </c:tx>
          <c:invertIfNegative val="0"/>
          <c:cat>
            <c:strLit>
              <c:ptCount val="2"/>
              <c:pt idx="0">
                <c:v>Ohne EG</c:v>
              </c:pt>
              <c:pt idx="1">
                <c:v>neoom KLUUB</c:v>
              </c:pt>
            </c:strLit>
          </c:cat>
          <c:val>
            <c:numRef>
              <c:f>Details2026!$M$9:$N$9</c:f>
              <c:numCache>
                <c:formatCode>0.0</c:formatCode>
                <c:ptCount val="2"/>
                <c:pt idx="0">
                  <c:v>6.2599999999999989</c:v>
                </c:pt>
                <c:pt idx="1">
                  <c:v>4.5071999999999992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5E-4164-BFEE-0D1AC324D420}"/>
            </c:ext>
          </c:extLst>
        </c:ser>
        <c:ser>
          <c:idx val="10"/>
          <c:order val="3"/>
          <c:tx>
            <c:strRef>
              <c:f>Details2026!$L$10</c:f>
              <c:strCache>
                <c:ptCount val="1"/>
                <c:pt idx="0">
                  <c:v>Elektrizitätsabgabe</c:v>
                </c:pt>
              </c:strCache>
            </c:strRef>
          </c:tx>
          <c:invertIfNegative val="0"/>
          <c:cat>
            <c:strLit>
              <c:ptCount val="2"/>
              <c:pt idx="0">
                <c:v>Ohne EG</c:v>
              </c:pt>
              <c:pt idx="1">
                <c:v>neoom KLUUB</c:v>
              </c:pt>
            </c:strLit>
          </c:cat>
          <c:val>
            <c:numRef>
              <c:f>Details2026!$M$10:$N$10</c:f>
              <c:numCache>
                <c:formatCode>0.0</c:formatCode>
                <c:ptCount val="2"/>
                <c:pt idx="0">
                  <c:v>0.83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E-4164-BFEE-0D1AC324D420}"/>
            </c:ext>
          </c:extLst>
        </c:ser>
        <c:ser>
          <c:idx val="11"/>
          <c:order val="4"/>
          <c:tx>
            <c:strRef>
              <c:f>Details2026!$L$11</c:f>
              <c:strCache>
                <c:ptCount val="1"/>
                <c:pt idx="0">
                  <c:v>Erneuerb. Förderbeitrag   </c:v>
                </c:pt>
              </c:strCache>
            </c:strRef>
          </c:tx>
          <c:invertIfNegative val="0"/>
          <c:cat>
            <c:strLit>
              <c:ptCount val="2"/>
              <c:pt idx="0">
                <c:v>Ohne EG</c:v>
              </c:pt>
              <c:pt idx="1">
                <c:v>neoom KLUUB</c:v>
              </c:pt>
            </c:strLit>
          </c:cat>
          <c:val>
            <c:numRef>
              <c:f>Details2026!$M$11:$N$11</c:f>
              <c:numCache>
                <c:formatCode>0.0</c:formatCode>
                <c:ptCount val="2"/>
                <c:pt idx="0">
                  <c:v>0.62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5E-4164-BFEE-0D1AC324D420}"/>
            </c:ext>
          </c:extLst>
        </c:ser>
        <c:ser>
          <c:idx val="12"/>
          <c:order val="5"/>
          <c:tx>
            <c:strRef>
              <c:f>Details2026!$L$12</c:f>
              <c:strCache>
                <c:ptCount val="1"/>
                <c:pt idx="0">
                  <c:v>Servicebeitrag</c:v>
                </c:pt>
              </c:strCache>
            </c:strRef>
          </c:tx>
          <c:invertIfNegative val="0"/>
          <c:cat>
            <c:strLit>
              <c:ptCount val="2"/>
              <c:pt idx="0">
                <c:v>Ohne EG</c:v>
              </c:pt>
              <c:pt idx="1">
                <c:v>neoom KLUUB</c:v>
              </c:pt>
            </c:strLit>
          </c:cat>
          <c:val>
            <c:numRef>
              <c:f>Details2026!$M$12:$N$12</c:f>
              <c:numCache>
                <c:formatCode>0.0</c:formatCode>
                <c:ptCount val="2"/>
                <c:pt idx="0">
                  <c:v>0</c:v>
                </c:pt>
                <c:pt idx="1">
                  <c:v>1.0000000000000002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5E-4164-BFEE-0D1AC324D420}"/>
            </c:ext>
          </c:extLst>
        </c:ser>
        <c:ser>
          <c:idx val="13"/>
          <c:order val="6"/>
          <c:tx>
            <c:strRef>
              <c:f>Details2026!$L$13</c:f>
              <c:strCache>
                <c:ptCount val="1"/>
                <c:pt idx="0">
                  <c:v>Steuer</c:v>
                </c:pt>
              </c:strCache>
            </c:strRef>
          </c:tx>
          <c:invertIfNegative val="0"/>
          <c:cat>
            <c:strLit>
              <c:ptCount val="2"/>
              <c:pt idx="0">
                <c:v>Ohne EG</c:v>
              </c:pt>
              <c:pt idx="1">
                <c:v>neoom KLUUB</c:v>
              </c:pt>
            </c:strLit>
          </c:cat>
          <c:val>
            <c:numRef>
              <c:f>Details2026!$M$13:$N$13</c:f>
              <c:numCache>
                <c:formatCode>0.0</c:formatCode>
                <c:ptCount val="2"/>
                <c:pt idx="0">
                  <c:v>3.9419999999999997</c:v>
                </c:pt>
                <c:pt idx="1">
                  <c:v>1.10144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5E-4164-BFEE-0D1AC324D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31278095"/>
        <c:axId val="1731278575"/>
        <c:axId val="0"/>
      </c:bar3DChart>
      <c:catAx>
        <c:axId val="1731278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31278575"/>
        <c:crosses val="autoZero"/>
        <c:auto val="1"/>
        <c:lblAlgn val="ctr"/>
        <c:lblOffset val="100"/>
        <c:noMultiLvlLbl val="0"/>
      </c:catAx>
      <c:valAx>
        <c:axId val="1731278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31278095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257606983208341"/>
          <c:w val="1"/>
          <c:h val="0.174239196192557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solidFill>
      <a:srgbClr val="FFEFEA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30748</xdr:colOff>
      <xdr:row>0</xdr:row>
      <xdr:rowOff>242166</xdr:rowOff>
    </xdr:from>
    <xdr:to>
      <xdr:col>1</xdr:col>
      <xdr:colOff>459446</xdr:colOff>
      <xdr:row>0</xdr:row>
      <xdr:rowOff>497474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90675D3-E3F3-4FAC-86E6-DB89B6EBA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348" y="242166"/>
          <a:ext cx="428698" cy="255308"/>
        </a:xfrm>
        <a:prstGeom prst="rect">
          <a:avLst/>
        </a:prstGeom>
      </xdr:spPr>
    </xdr:pic>
    <xdr:clientData/>
  </xdr:twoCellAnchor>
  <xdr:twoCellAnchor>
    <xdr:from>
      <xdr:col>14</xdr:col>
      <xdr:colOff>206509</xdr:colOff>
      <xdr:row>25</xdr:row>
      <xdr:rowOff>179161</xdr:rowOff>
    </xdr:from>
    <xdr:to>
      <xdr:col>16</xdr:col>
      <xdr:colOff>18143</xdr:colOff>
      <xdr:row>35</xdr:row>
      <xdr:rowOff>158750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F5BDB855-C224-674F-B868-DF9D8176F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7</xdr:row>
      <xdr:rowOff>0</xdr:rowOff>
    </xdr:from>
    <xdr:to>
      <xdr:col>9</xdr:col>
      <xdr:colOff>677340</xdr:colOff>
      <xdr:row>21</xdr:row>
      <xdr:rowOff>183776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58611CE6-7B10-4D97-9FEF-55321FB0C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6</xdr:row>
      <xdr:rowOff>314325</xdr:rowOff>
    </xdr:from>
    <xdr:to>
      <xdr:col>10</xdr:col>
      <xdr:colOff>2009</xdr:colOff>
      <xdr:row>22</xdr:row>
      <xdr:rowOff>66675</xdr:rowOff>
    </xdr:to>
    <xdr:graphicFrame macro="">
      <xdr:nvGraphicFramePr>
        <xdr:cNvPr id="5" name="Diagramm 13">
          <a:extLst>
            <a:ext uri="{FF2B5EF4-FFF2-40B4-BE49-F238E27FC236}">
              <a16:creationId xmlns:a16="http://schemas.microsoft.com/office/drawing/2014/main" id="{C6155DF9-EED9-475B-BE4D-8DB5C237D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38075</xdr:colOff>
      <xdr:row>0</xdr:row>
      <xdr:rowOff>132262</xdr:rowOff>
    </xdr:from>
    <xdr:to>
      <xdr:col>1</xdr:col>
      <xdr:colOff>758075</xdr:colOff>
      <xdr:row>0</xdr:row>
      <xdr:rowOff>492262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8CC798C7-C1AB-4A78-BD43-B527C86DE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210" y="132262"/>
          <a:ext cx="720000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Benutzerdefiniert 4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0070C0"/>
      </a:accent2>
      <a:accent3>
        <a:srgbClr val="EB5032"/>
      </a:accent3>
      <a:accent4>
        <a:srgbClr val="3A7D22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pp.neoom.com/kluub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neoom.com/loesungen-eeg" TargetMode="External"/><Relationship Id="rId7" Type="http://schemas.openxmlformats.org/officeDocument/2006/relationships/hyperlink" Target="https://neoom.com/partner-downloads-kluub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neoom.com/produkte/app/kluub" TargetMode="External"/><Relationship Id="rId1" Type="http://schemas.openxmlformats.org/officeDocument/2006/relationships/hyperlink" Target="https://tinyurl.com/mvm9knmm" TargetMode="External"/><Relationship Id="rId6" Type="http://schemas.openxmlformats.org/officeDocument/2006/relationships/hyperlink" Target="https://wissen.neoom.com/erklaerung-des-tarifblattes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issen.neoom.com/schritt-fuer-schritt-anleitung-kluub" TargetMode="External"/><Relationship Id="rId10" Type="http://schemas.openxmlformats.org/officeDocument/2006/relationships/hyperlink" Target="https://www.youtube.com/playlist?list=PL3qdefEcGLAmZjl1VvCzxRULtSCNv9lJ4" TargetMode="External"/><Relationship Id="rId4" Type="http://schemas.openxmlformats.org/officeDocument/2006/relationships/hyperlink" Target="https://wissen.neoom.com/stromlieferung-und-verteilung" TargetMode="External"/><Relationship Id="rId9" Type="http://schemas.openxmlformats.org/officeDocument/2006/relationships/hyperlink" Target="https://www.youtube.com/playlist?list=PL3qdefEcGLAmZjl1VvCzxRULtSCNv9lJ4" TargetMode="Externa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playlist?list=PL3qdefEcGLAmZjl1VvCzxRULtSCNv9lJ4" TargetMode="External"/><Relationship Id="rId13" Type="http://schemas.openxmlformats.org/officeDocument/2006/relationships/vmlDrawing" Target="../drawings/vmlDrawing2.vml"/><Relationship Id="rId3" Type="http://schemas.openxmlformats.org/officeDocument/2006/relationships/hyperlink" Target="https://wissen.neoom.com/stromlieferung-und-verteilung" TargetMode="External"/><Relationship Id="rId7" Type="http://schemas.openxmlformats.org/officeDocument/2006/relationships/hyperlink" Target="https://app.neoom.com/kluub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neoom.com/loesungen-eeg" TargetMode="External"/><Relationship Id="rId1" Type="http://schemas.openxmlformats.org/officeDocument/2006/relationships/hyperlink" Target="https://neoom.com/produkte/app/kluub" TargetMode="External"/><Relationship Id="rId6" Type="http://schemas.openxmlformats.org/officeDocument/2006/relationships/hyperlink" Target="https://neoom.com/partner-downloads-kluub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issen.neoom.com/erklaerung-des-tarifblattes" TargetMode="External"/><Relationship Id="rId10" Type="http://schemas.openxmlformats.org/officeDocument/2006/relationships/hyperlink" Target="https://tinyurl.com/mvm9knmm" TargetMode="External"/><Relationship Id="rId4" Type="http://schemas.openxmlformats.org/officeDocument/2006/relationships/hyperlink" Target="https://wissen.neoom.com/schritt-fuer-schritt-anleitung-kluub" TargetMode="External"/><Relationship Id="rId9" Type="http://schemas.openxmlformats.org/officeDocument/2006/relationships/hyperlink" Target="https://www.youtube.com/playlist?list=PL3qdefEcGLAmZjl1VvCzxRULtSCNv9lJ4" TargetMode="External"/><Relationship Id="rId1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2549A-C270-4852-A92D-8831EA4E262C}">
  <dimension ref="A1:X47"/>
  <sheetViews>
    <sheetView showGridLines="0" zoomScale="70" zoomScaleNormal="70" workbookViewId="0">
      <selection activeCell="C4" sqref="C4"/>
    </sheetView>
  </sheetViews>
  <sheetFormatPr defaultColWidth="10.42578125" defaultRowHeight="16.5"/>
  <cols>
    <col min="1" max="1" width="3.42578125" style="12" customWidth="1"/>
    <col min="2" max="2" width="39.42578125" style="12" customWidth="1"/>
    <col min="3" max="3" width="9.85546875" style="12" bestFit="1" customWidth="1"/>
    <col min="4" max="4" width="11.7109375" style="12" bestFit="1" customWidth="1"/>
    <col min="5" max="5" width="16.5703125" style="12" bestFit="1" customWidth="1"/>
    <col min="6" max="6" width="9.42578125" style="12" customWidth="1"/>
    <col min="7" max="7" width="13.28515625" style="12" bestFit="1" customWidth="1"/>
    <col min="8" max="8" width="14.5703125" style="12" bestFit="1" customWidth="1"/>
    <col min="9" max="10" width="10.140625" style="12" customWidth="1"/>
    <col min="11" max="11" width="4.28515625" style="12" customWidth="1"/>
    <col min="12" max="12" width="15.85546875" style="92" customWidth="1"/>
    <col min="13" max="14" width="11.140625" style="92" customWidth="1"/>
    <col min="15" max="15" width="16.28515625" style="12" hidden="1" customWidth="1"/>
    <col min="16" max="16" width="16.140625" style="12" hidden="1" customWidth="1"/>
    <col min="17" max="17" width="17.140625" style="12" hidden="1" customWidth="1"/>
    <col min="18" max="19" width="21.85546875" style="12" hidden="1" customWidth="1"/>
    <col min="20" max="20" width="14.5703125" style="12" hidden="1" customWidth="1"/>
    <col min="21" max="21" width="19.140625" style="12" hidden="1" customWidth="1"/>
    <col min="22" max="22" width="17.5703125" style="12" hidden="1" customWidth="1"/>
    <col min="23" max="23" width="24.7109375" style="12" hidden="1" customWidth="1"/>
    <col min="24" max="16384" width="10.42578125" style="12"/>
  </cols>
  <sheetData>
    <row r="1" spans="1:24" ht="68.099999999999994" customHeight="1" thickBot="1">
      <c r="A1" s="188"/>
      <c r="B1" s="189" t="s">
        <v>0</v>
      </c>
      <c r="C1" s="190"/>
      <c r="D1" s="190"/>
      <c r="E1" s="190"/>
      <c r="I1" s="13"/>
      <c r="J1" s="13"/>
      <c r="K1" s="13"/>
      <c r="L1" s="133"/>
      <c r="M1" s="133"/>
      <c r="N1" s="133"/>
      <c r="O1" s="219" t="s">
        <v>1</v>
      </c>
      <c r="P1" s="220"/>
      <c r="Q1" s="220"/>
      <c r="R1" s="221"/>
      <c r="S1" s="219" t="s">
        <v>2</v>
      </c>
      <c r="T1" s="221"/>
      <c r="U1" s="217" t="s">
        <v>3</v>
      </c>
      <c r="V1" s="215" t="s">
        <v>4</v>
      </c>
      <c r="W1" s="217" t="s">
        <v>5</v>
      </c>
    </row>
    <row r="2" spans="1:24" ht="39.950000000000003" customHeight="1" thickBot="1">
      <c r="A2" s="188"/>
      <c r="B2" s="14"/>
      <c r="C2" s="205" t="s">
        <v>6</v>
      </c>
      <c r="D2" s="206"/>
      <c r="E2" s="207"/>
      <c r="G2" s="208" t="s">
        <v>7</v>
      </c>
      <c r="H2" s="209"/>
      <c r="I2" s="210">
        <f>((C14*1.2-(C16*(1+0.2*C19))+C21)*E5/100)-R7-Q8+((C16-C15)*E4/100)</f>
        <v>328.36800000000005</v>
      </c>
      <c r="J2" s="211"/>
      <c r="K2" s="13"/>
      <c r="L2" s="133"/>
      <c r="M2" s="133"/>
      <c r="N2" s="133"/>
      <c r="O2" s="222"/>
      <c r="P2" s="223"/>
      <c r="Q2" s="223"/>
      <c r="R2" s="224"/>
      <c r="S2" s="225"/>
      <c r="T2" s="226"/>
      <c r="U2" s="227"/>
      <c r="V2" s="216"/>
      <c r="W2" s="216"/>
    </row>
    <row r="3" spans="1:24" ht="33.75" thickBot="1">
      <c r="A3" s="188"/>
      <c r="B3" s="15"/>
      <c r="C3" s="16" t="s">
        <v>8</v>
      </c>
      <c r="D3" s="17" t="s">
        <v>9</v>
      </c>
      <c r="E3" s="18" t="s">
        <v>10</v>
      </c>
      <c r="G3" s="197" t="s">
        <v>11</v>
      </c>
      <c r="H3" s="198"/>
      <c r="I3" s="199">
        <f>((C14+R12)*1.2*C5-C15*C4)/100</f>
        <v>2517.6</v>
      </c>
      <c r="J3" s="200"/>
      <c r="K3" s="13"/>
      <c r="L3" s="133"/>
      <c r="M3" s="133"/>
      <c r="N3" s="133"/>
      <c r="O3" s="19" t="s">
        <v>12</v>
      </c>
      <c r="P3" s="20" t="s">
        <v>13</v>
      </c>
      <c r="Q3" s="20" t="s">
        <v>14</v>
      </c>
      <c r="R3" s="21" t="s">
        <v>15</v>
      </c>
      <c r="S3" s="22" t="s">
        <v>16</v>
      </c>
      <c r="T3" s="23" t="s">
        <v>14</v>
      </c>
      <c r="U3" s="23" t="s">
        <v>14</v>
      </c>
      <c r="V3" s="23" t="s">
        <v>14</v>
      </c>
      <c r="W3" s="23" t="s">
        <v>14</v>
      </c>
    </row>
    <row r="4" spans="1:24" s="33" customFormat="1" ht="33" customHeight="1" thickBot="1">
      <c r="A4" s="188"/>
      <c r="B4" s="24" t="s">
        <v>17</v>
      </c>
      <c r="C4" s="2"/>
      <c r="D4" s="2"/>
      <c r="E4" s="25">
        <f>C4*D4/100</f>
        <v>0</v>
      </c>
      <c r="F4" s="12"/>
      <c r="G4" s="201" t="s">
        <v>18</v>
      </c>
      <c r="H4" s="202"/>
      <c r="I4" s="203">
        <f>((((C14+R12)*1.2*(C5-E5)/100)+(C16*(1+0.2*C19))*E5/100+((R12-R13)*1.2*E5/100)+R7+Q8-((C16-C15)*E4/100)))-C15*C4/100</f>
        <v>2189.232</v>
      </c>
      <c r="J4" s="204"/>
      <c r="K4" s="13"/>
      <c r="L4" s="133"/>
      <c r="M4" s="133"/>
      <c r="N4" s="133"/>
      <c r="O4" s="26">
        <v>1</v>
      </c>
      <c r="P4" s="27">
        <v>500</v>
      </c>
      <c r="Q4" s="28">
        <v>0.01</v>
      </c>
      <c r="R4" s="29">
        <f>IF(O4&lt;=$E$6,MIN($E$6-N(P3),P4-N(P3))*Q4,0)</f>
        <v>5</v>
      </c>
      <c r="S4" s="30" t="s">
        <v>19</v>
      </c>
      <c r="T4" s="31">
        <v>8.4600000000000009</v>
      </c>
      <c r="U4" s="32">
        <f>IF($E$14="Privat",0.72,1.45)</f>
        <v>0.72</v>
      </c>
      <c r="V4" s="32">
        <f>T4*0.28</f>
        <v>2.3688000000000007</v>
      </c>
      <c r="W4" s="31">
        <f>V4+U4</f>
        <v>3.0888000000000009</v>
      </c>
    </row>
    <row r="5" spans="1:24" ht="33" customHeight="1" thickBot="1">
      <c r="A5" s="188"/>
      <c r="B5" s="34" t="s">
        <v>20</v>
      </c>
      <c r="C5" s="3">
        <v>10000</v>
      </c>
      <c r="D5" s="2">
        <v>50</v>
      </c>
      <c r="E5" s="35">
        <f>(C5)*D5/100</f>
        <v>5000</v>
      </c>
      <c r="K5" s="133"/>
      <c r="L5" s="133"/>
      <c r="M5" s="133"/>
      <c r="N5" s="133"/>
      <c r="O5" s="146">
        <v>501</v>
      </c>
      <c r="P5" s="147">
        <v>200000</v>
      </c>
      <c r="Q5" s="148">
        <v>0.01</v>
      </c>
      <c r="R5" s="149">
        <f>IF(O5&lt;=$E$6,MIN($E$6-N(P4),P5-N(P4))*Q5,0)</f>
        <v>45</v>
      </c>
      <c r="S5" s="150" t="s">
        <v>21</v>
      </c>
      <c r="T5" s="151">
        <v>9.67</v>
      </c>
      <c r="U5" s="152">
        <f>IF($E$14="Privat",0.72,1.45)</f>
        <v>0.72</v>
      </c>
      <c r="V5" s="152">
        <f t="shared" ref="V5:V16" si="0">T5*0.28</f>
        <v>2.7076000000000002</v>
      </c>
      <c r="W5" s="153">
        <f t="shared" ref="W5:W16" si="1">V5+U5</f>
        <v>3.4276</v>
      </c>
      <c r="X5" s="92"/>
    </row>
    <row r="6" spans="1:24" ht="21.95" customHeight="1" thickBot="1">
      <c r="A6" s="188"/>
      <c r="B6" s="44"/>
      <c r="C6" s="45"/>
      <c r="D6" s="46"/>
      <c r="E6" s="137">
        <f>SUM(E4:E5)</f>
        <v>5000</v>
      </c>
      <c r="G6" s="212" t="s">
        <v>22</v>
      </c>
      <c r="H6" s="213"/>
      <c r="I6" s="213"/>
      <c r="J6" s="214"/>
      <c r="K6" s="133"/>
      <c r="L6" s="130"/>
      <c r="M6" s="131" t="s">
        <v>23</v>
      </c>
      <c r="N6" s="132" t="s">
        <v>24</v>
      </c>
      <c r="O6" s="146">
        <v>200001</v>
      </c>
      <c r="P6" s="154">
        <v>1000000</v>
      </c>
      <c r="Q6" s="155">
        <v>8.3333000000000001E-3</v>
      </c>
      <c r="R6" s="156">
        <f>IF(O6&lt;=$E$6,MIN($E$6-N(P5),P6-N(P5))*Q6,0)</f>
        <v>0</v>
      </c>
      <c r="S6" s="150" t="s">
        <v>25</v>
      </c>
      <c r="T6" s="151">
        <v>6.9</v>
      </c>
      <c r="U6" s="152">
        <f t="shared" ref="U6:U16" si="2">IF($E$14="Privat",0.72,1.45)</f>
        <v>0.72</v>
      </c>
      <c r="V6" s="152">
        <f t="shared" si="0"/>
        <v>1.9320000000000004</v>
      </c>
      <c r="W6" s="153">
        <f t="shared" si="1"/>
        <v>2.6520000000000001</v>
      </c>
      <c r="X6" s="92"/>
    </row>
    <row r="7" spans="1:24" ht="25.5" thickBot="1">
      <c r="A7" s="188"/>
      <c r="B7" s="50"/>
      <c r="C7" s="50"/>
      <c r="D7" s="50"/>
      <c r="E7" s="138" t="s">
        <v>26</v>
      </c>
      <c r="F7" s="51"/>
      <c r="G7" s="134"/>
      <c r="H7" s="143" t="str">
        <f>TEXT(M14,"##,#")&amp;" ct"</f>
        <v>25,2 ct</v>
      </c>
      <c r="I7" s="135">
        <f>N14</f>
        <v>18.608640000000001</v>
      </c>
      <c r="J7" s="136" t="s">
        <v>27</v>
      </c>
      <c r="K7" s="133"/>
      <c r="L7" s="130" t="s">
        <v>28</v>
      </c>
      <c r="M7" s="142">
        <f>C14</f>
        <v>14</v>
      </c>
      <c r="N7" s="142">
        <v>0</v>
      </c>
      <c r="O7" s="157"/>
      <c r="P7" s="158"/>
      <c r="Q7" s="159" t="s">
        <v>29</v>
      </c>
      <c r="R7" s="160">
        <f>SUM(R4:R6)</f>
        <v>50</v>
      </c>
      <c r="S7" s="150" t="s">
        <v>30</v>
      </c>
      <c r="T7" s="151">
        <v>8.7899999999999991</v>
      </c>
      <c r="U7" s="152">
        <f t="shared" si="2"/>
        <v>0.72</v>
      </c>
      <c r="V7" s="152">
        <f t="shared" si="0"/>
        <v>2.4611999999999998</v>
      </c>
      <c r="W7" s="153">
        <f t="shared" si="1"/>
        <v>3.1811999999999996</v>
      </c>
      <c r="X7" s="92"/>
    </row>
    <row r="8" spans="1:24" ht="20.100000000000001" customHeight="1" thickBot="1">
      <c r="A8" s="188"/>
      <c r="B8" s="56" t="s">
        <v>31</v>
      </c>
      <c r="E8" s="57"/>
      <c r="K8" s="133"/>
      <c r="L8" s="130" t="s">
        <v>32</v>
      </c>
      <c r="M8" s="142">
        <v>0</v>
      </c>
      <c r="N8" s="142">
        <f>C16</f>
        <v>10</v>
      </c>
      <c r="O8" s="161" t="s">
        <v>33</v>
      </c>
      <c r="P8" s="162"/>
      <c r="Q8" s="163">
        <f>VLOOKUP(C17,O11:P16,2)*4*C18/1.2</f>
        <v>10</v>
      </c>
      <c r="R8" s="164"/>
      <c r="S8" s="165" t="s">
        <v>34</v>
      </c>
      <c r="T8" s="151">
        <v>6.26</v>
      </c>
      <c r="U8" s="152">
        <f t="shared" si="2"/>
        <v>0.72</v>
      </c>
      <c r="V8" s="152">
        <f t="shared" si="0"/>
        <v>1.7528000000000001</v>
      </c>
      <c r="W8" s="153">
        <f t="shared" si="1"/>
        <v>2.4728000000000003</v>
      </c>
      <c r="X8" s="92"/>
    </row>
    <row r="9" spans="1:24" ht="30" customHeight="1" thickBot="1">
      <c r="A9" s="188"/>
      <c r="B9" s="63" t="s">
        <v>35</v>
      </c>
      <c r="F9" s="1"/>
      <c r="G9" s="1"/>
      <c r="H9" s="1"/>
      <c r="I9" s="1"/>
      <c r="J9" s="1"/>
      <c r="K9" s="92"/>
      <c r="L9" s="130" t="s">
        <v>36</v>
      </c>
      <c r="M9" s="142">
        <f>C22/1.2-$U$4</f>
        <v>6.26</v>
      </c>
      <c r="N9" s="142">
        <f>(C22-C21)/1.2</f>
        <v>4.5071999999999992</v>
      </c>
      <c r="O9" s="193" t="s">
        <v>37</v>
      </c>
      <c r="P9" s="194"/>
      <c r="Q9" s="166"/>
      <c r="R9" s="164"/>
      <c r="S9" s="167" t="s">
        <v>38</v>
      </c>
      <c r="T9" s="151">
        <v>5.57</v>
      </c>
      <c r="U9" s="152">
        <f t="shared" si="2"/>
        <v>0.72</v>
      </c>
      <c r="V9" s="152">
        <f t="shared" si="0"/>
        <v>1.5596000000000003</v>
      </c>
      <c r="W9" s="153">
        <f t="shared" si="1"/>
        <v>2.2796000000000003</v>
      </c>
      <c r="X9" s="92"/>
    </row>
    <row r="10" spans="1:24" ht="20.100000000000001" customHeight="1" thickBot="1">
      <c r="A10" s="188"/>
      <c r="B10" s="195" t="s">
        <v>39</v>
      </c>
      <c r="C10" s="195"/>
      <c r="D10" s="195"/>
      <c r="E10" s="195"/>
      <c r="F10" s="195"/>
      <c r="G10" s="196"/>
      <c r="H10" s="196"/>
      <c r="I10" s="196"/>
      <c r="J10" s="196"/>
      <c r="K10" s="92"/>
      <c r="L10" s="130" t="s">
        <v>40</v>
      </c>
      <c r="M10" s="142">
        <f>IF(E14="Privat",V23,V24)</f>
        <v>0.1</v>
      </c>
      <c r="N10" s="142">
        <v>0</v>
      </c>
      <c r="O10" s="168" t="s">
        <v>41</v>
      </c>
      <c r="P10" s="169" t="s">
        <v>42</v>
      </c>
      <c r="Q10" s="92"/>
      <c r="R10" s="164"/>
      <c r="S10" s="167" t="s">
        <v>43</v>
      </c>
      <c r="T10" s="151">
        <v>6.59</v>
      </c>
      <c r="U10" s="152">
        <f t="shared" si="2"/>
        <v>0.72</v>
      </c>
      <c r="V10" s="152">
        <f t="shared" si="0"/>
        <v>1.8452000000000002</v>
      </c>
      <c r="W10" s="153">
        <f t="shared" si="1"/>
        <v>2.5651999999999999</v>
      </c>
      <c r="X10" s="92"/>
    </row>
    <row r="11" spans="1:24" ht="20.100000000000001" customHeight="1">
      <c r="A11" s="188"/>
      <c r="B11" s="10"/>
      <c r="C11" s="10"/>
      <c r="D11" s="10"/>
      <c r="E11" s="10"/>
      <c r="F11" s="10"/>
      <c r="G11" s="66"/>
      <c r="H11" s="66"/>
      <c r="I11" s="66"/>
      <c r="J11" s="66"/>
      <c r="K11" s="92"/>
      <c r="L11" s="130" t="s">
        <v>44</v>
      </c>
      <c r="M11" s="142">
        <f>V22</f>
        <v>0.62</v>
      </c>
      <c r="N11" s="142">
        <v>0</v>
      </c>
      <c r="O11" s="170">
        <v>10</v>
      </c>
      <c r="P11" s="171">
        <v>3</v>
      </c>
      <c r="Q11" s="172"/>
      <c r="R11" s="173"/>
      <c r="S11" s="167" t="s">
        <v>45</v>
      </c>
      <c r="T11" s="151">
        <v>8.82</v>
      </c>
      <c r="U11" s="152">
        <f t="shared" si="2"/>
        <v>0.72</v>
      </c>
      <c r="V11" s="152">
        <f t="shared" si="0"/>
        <v>2.4696000000000002</v>
      </c>
      <c r="W11" s="153">
        <f t="shared" si="1"/>
        <v>3.1896000000000004</v>
      </c>
      <c r="X11" s="92"/>
    </row>
    <row r="12" spans="1:24" ht="29.1" customHeight="1" thickBot="1">
      <c r="A12" s="188"/>
      <c r="K12" s="92"/>
      <c r="L12" s="130" t="s">
        <v>46</v>
      </c>
      <c r="M12" s="142">
        <v>0</v>
      </c>
      <c r="N12" s="142">
        <f>R7/E6*100</f>
        <v>1</v>
      </c>
      <c r="O12" s="170">
        <v>20</v>
      </c>
      <c r="P12" s="174">
        <v>3</v>
      </c>
      <c r="Q12" s="175" t="s">
        <v>47</v>
      </c>
      <c r="R12" s="176">
        <f>C22/1.2</f>
        <v>6.9799999999999995</v>
      </c>
      <c r="S12" s="167" t="s">
        <v>48</v>
      </c>
      <c r="T12" s="151">
        <v>5.17</v>
      </c>
      <c r="U12" s="152">
        <f t="shared" si="2"/>
        <v>0.72</v>
      </c>
      <c r="V12" s="152">
        <f t="shared" si="0"/>
        <v>1.4476000000000002</v>
      </c>
      <c r="W12" s="153">
        <f t="shared" si="1"/>
        <v>2.1676000000000002</v>
      </c>
      <c r="X12" s="92"/>
    </row>
    <row r="13" spans="1:24" ht="29.1" customHeight="1" thickBot="1">
      <c r="A13" s="188"/>
      <c r="B13" s="73" t="s">
        <v>49</v>
      </c>
      <c r="C13" s="74" t="s">
        <v>14</v>
      </c>
      <c r="E13" s="144" t="s">
        <v>50</v>
      </c>
      <c r="K13" s="92"/>
      <c r="L13" s="130" t="s">
        <v>51</v>
      </c>
      <c r="M13" s="142">
        <f>SUM(M7:M11)*0.2</f>
        <v>4.1960000000000006</v>
      </c>
      <c r="N13" s="142">
        <f>N8*(0.2*C19)+(N9+N12)*0.2</f>
        <v>3.1014400000000002</v>
      </c>
      <c r="O13" s="170">
        <v>30</v>
      </c>
      <c r="P13" s="174">
        <v>3</v>
      </c>
      <c r="Q13" s="175" t="s">
        <v>52</v>
      </c>
      <c r="R13" s="177">
        <f>C21/1.2</f>
        <v>2.4728000000000003</v>
      </c>
      <c r="S13" s="167" t="s">
        <v>53</v>
      </c>
      <c r="T13" s="151">
        <v>6.81</v>
      </c>
      <c r="U13" s="152">
        <f t="shared" si="2"/>
        <v>0.72</v>
      </c>
      <c r="V13" s="152">
        <f t="shared" si="0"/>
        <v>1.9068000000000001</v>
      </c>
      <c r="W13" s="153">
        <f t="shared" si="1"/>
        <v>2.6268000000000002</v>
      </c>
      <c r="X13" s="92"/>
    </row>
    <row r="14" spans="1:24" ht="17.100000000000001" customHeight="1" thickBot="1">
      <c r="A14" s="188"/>
      <c r="B14" s="78" t="s">
        <v>54</v>
      </c>
      <c r="C14" s="4">
        <v>14</v>
      </c>
      <c r="E14" s="145" t="s">
        <v>55</v>
      </c>
      <c r="F14" s="96"/>
      <c r="G14" s="97"/>
      <c r="H14" s="98"/>
      <c r="I14" s="98"/>
      <c r="K14" s="92"/>
      <c r="L14" s="130" t="s">
        <v>56</v>
      </c>
      <c r="M14" s="142">
        <f>SUM(M7:M13)</f>
        <v>25.176000000000002</v>
      </c>
      <c r="N14" s="142">
        <f>SUM(N7:N13)</f>
        <v>18.608640000000001</v>
      </c>
      <c r="O14" s="170">
        <v>40</v>
      </c>
      <c r="P14" s="171">
        <v>3</v>
      </c>
      <c r="Q14" s="92"/>
      <c r="R14" s="164"/>
      <c r="S14" s="167" t="s">
        <v>57</v>
      </c>
      <c r="T14" s="151">
        <v>8.0299999999999994</v>
      </c>
      <c r="U14" s="152">
        <f t="shared" si="2"/>
        <v>0.72</v>
      </c>
      <c r="V14" s="152">
        <f t="shared" si="0"/>
        <v>2.2484000000000002</v>
      </c>
      <c r="W14" s="153">
        <f t="shared" si="1"/>
        <v>2.9683999999999999</v>
      </c>
      <c r="X14" s="92"/>
    </row>
    <row r="15" spans="1:24" ht="19.5" customHeight="1" thickBot="1">
      <c r="A15" s="188"/>
      <c r="B15" s="80" t="s">
        <v>58</v>
      </c>
      <c r="C15" s="5">
        <v>6</v>
      </c>
      <c r="E15" s="99"/>
      <c r="G15" s="93"/>
      <c r="H15" s="93"/>
      <c r="I15" s="93"/>
      <c r="K15" s="92"/>
      <c r="O15" s="178">
        <v>50</v>
      </c>
      <c r="P15" s="179">
        <v>3</v>
      </c>
      <c r="Q15" s="92"/>
      <c r="R15" s="164"/>
      <c r="S15" s="167" t="s">
        <v>59</v>
      </c>
      <c r="T15" s="151">
        <v>4.96</v>
      </c>
      <c r="U15" s="152">
        <f t="shared" si="2"/>
        <v>0.72</v>
      </c>
      <c r="V15" s="152">
        <f t="shared" si="0"/>
        <v>1.3888</v>
      </c>
      <c r="W15" s="153">
        <f t="shared" si="1"/>
        <v>2.1088</v>
      </c>
      <c r="X15" s="92"/>
    </row>
    <row r="16" spans="1:24" ht="19.5" customHeight="1" thickBot="1">
      <c r="A16" s="188"/>
      <c r="B16" s="80" t="s">
        <v>60</v>
      </c>
      <c r="C16" s="6">
        <v>10</v>
      </c>
      <c r="E16" s="93"/>
      <c r="F16" s="93"/>
      <c r="G16" s="93"/>
      <c r="H16" s="93"/>
      <c r="I16" s="93"/>
      <c r="K16" s="92"/>
      <c r="O16" s="180">
        <v>100</v>
      </c>
      <c r="P16" s="181">
        <v>3</v>
      </c>
      <c r="Q16" s="182"/>
      <c r="R16" s="183"/>
      <c r="S16" s="184" t="s">
        <v>61</v>
      </c>
      <c r="T16" s="185">
        <v>6.98</v>
      </c>
      <c r="U16" s="186">
        <f t="shared" si="2"/>
        <v>0.72</v>
      </c>
      <c r="V16" s="186">
        <f t="shared" si="0"/>
        <v>1.9544000000000004</v>
      </c>
      <c r="W16" s="187">
        <f t="shared" si="1"/>
        <v>2.6744000000000003</v>
      </c>
      <c r="X16" s="92"/>
    </row>
    <row r="17" spans="1:24" ht="19.5" hidden="1" customHeight="1" thickBot="1">
      <c r="A17" s="188"/>
      <c r="B17" s="80" t="s">
        <v>62</v>
      </c>
      <c r="C17" s="7">
        <v>100</v>
      </c>
      <c r="E17" s="93"/>
      <c r="F17" s="93"/>
      <c r="G17" s="93"/>
      <c r="H17" s="93"/>
      <c r="I17" s="93"/>
      <c r="K17" s="92"/>
      <c r="O17" s="92"/>
      <c r="P17" s="92"/>
      <c r="Q17" s="92"/>
      <c r="R17" s="92"/>
      <c r="S17" s="92"/>
      <c r="T17" s="92"/>
      <c r="U17" s="92"/>
      <c r="V17" s="92"/>
      <c r="W17" s="92"/>
      <c r="X17" s="92"/>
    </row>
    <row r="18" spans="1:24" ht="19.5" hidden="1" customHeight="1" thickBot="1">
      <c r="A18" s="188"/>
      <c r="B18" s="80" t="s">
        <v>63</v>
      </c>
      <c r="C18" s="8">
        <v>1</v>
      </c>
      <c r="E18" s="93"/>
      <c r="F18" s="93"/>
      <c r="G18" s="93"/>
      <c r="H18" s="93"/>
      <c r="I18" s="93"/>
      <c r="K18" s="92"/>
      <c r="O18" s="92" t="e">
        <f>Details2026!#REF!</f>
        <v>#REF!</v>
      </c>
      <c r="P18" s="92"/>
      <c r="Q18" s="92"/>
      <c r="R18" s="92"/>
      <c r="S18" s="92"/>
      <c r="T18" s="92"/>
      <c r="U18" s="92"/>
      <c r="V18" s="92"/>
      <c r="W18" s="92"/>
      <c r="X18" s="92"/>
    </row>
    <row r="19" spans="1:24" ht="19.5" customHeight="1" thickBot="1">
      <c r="A19" s="188"/>
      <c r="B19" s="91" t="s">
        <v>64</v>
      </c>
      <c r="C19" s="9">
        <v>1</v>
      </c>
      <c r="E19" s="93"/>
      <c r="F19" s="93"/>
      <c r="G19" s="93"/>
      <c r="H19" s="93"/>
      <c r="I19" s="93"/>
      <c r="K19" s="92"/>
      <c r="O19" s="218" t="s">
        <v>65</v>
      </c>
      <c r="P19" s="218"/>
      <c r="Q19" s="218"/>
      <c r="R19" s="218"/>
      <c r="S19" s="218"/>
      <c r="T19" s="218"/>
      <c r="U19" s="218"/>
      <c r="V19" s="218"/>
      <c r="W19" s="218"/>
      <c r="X19" s="92"/>
    </row>
    <row r="20" spans="1:24" ht="19.5" customHeight="1" thickBot="1">
      <c r="A20" s="188"/>
      <c r="B20" s="191" t="s">
        <v>66</v>
      </c>
      <c r="C20" s="192"/>
      <c r="E20" s="93"/>
      <c r="F20" s="93"/>
      <c r="G20" s="93"/>
      <c r="H20" s="93"/>
      <c r="I20" s="93"/>
      <c r="K20" s="92"/>
      <c r="O20" s="218"/>
      <c r="P20" s="218"/>
      <c r="Q20" s="218"/>
      <c r="R20" s="218"/>
      <c r="S20" s="218"/>
      <c r="T20" s="218"/>
      <c r="U20" s="218"/>
      <c r="V20" s="218"/>
      <c r="W20" s="218"/>
      <c r="X20" s="92"/>
    </row>
    <row r="21" spans="1:24" ht="19.5" customHeight="1" thickBot="1">
      <c r="A21" s="188"/>
      <c r="B21" s="139" t="s">
        <v>34</v>
      </c>
      <c r="C21" s="140">
        <f>VLOOKUP($B$21,$S$4:$W$16,5)*1.2</f>
        <v>2.9673600000000002</v>
      </c>
      <c r="E21" s="93"/>
      <c r="F21" s="93"/>
      <c r="G21" s="93"/>
      <c r="H21" s="93"/>
      <c r="I21" s="93"/>
    </row>
    <row r="22" spans="1:24" ht="19.5" customHeight="1" thickBot="1">
      <c r="A22" s="188"/>
      <c r="B22" s="105" t="s">
        <v>67</v>
      </c>
      <c r="C22" s="141">
        <f>(VLOOKUP($B$21,$S$4:$W$16,2)+$U$4)*1.2</f>
        <v>8.3759999999999994</v>
      </c>
      <c r="E22" s="93"/>
      <c r="F22" s="93"/>
      <c r="G22" s="93"/>
      <c r="H22" s="93"/>
      <c r="I22" s="93"/>
      <c r="Q22" s="50"/>
      <c r="R22" s="50"/>
      <c r="S22" s="50"/>
      <c r="T22" s="12" t="s">
        <v>68</v>
      </c>
      <c r="V22" s="12">
        <f>0.583+0.037</f>
        <v>0.62</v>
      </c>
      <c r="W22" s="12" t="s">
        <v>69</v>
      </c>
    </row>
    <row r="23" spans="1:24" ht="18" customHeight="1">
      <c r="A23" s="188"/>
      <c r="B23" s="92" t="s">
        <v>70</v>
      </c>
      <c r="E23" s="93"/>
      <c r="F23" s="93"/>
      <c r="G23" s="93"/>
      <c r="H23" s="93"/>
      <c r="I23" s="93"/>
      <c r="O23" s="100"/>
      <c r="P23" s="104" t="s">
        <v>71</v>
      </c>
      <c r="Q23" s="50"/>
      <c r="R23" s="50"/>
      <c r="S23" s="50" t="s">
        <v>55</v>
      </c>
      <c r="T23" s="12" t="s">
        <v>72</v>
      </c>
      <c r="V23" s="12">
        <v>0.1</v>
      </c>
      <c r="W23" s="12" t="s">
        <v>69</v>
      </c>
    </row>
    <row r="24" spans="1:24" ht="18" customHeight="1">
      <c r="A24" s="188"/>
      <c r="B24" s="129"/>
      <c r="C24" s="129"/>
      <c r="D24" s="129"/>
      <c r="E24" s="129"/>
      <c r="F24" s="129"/>
      <c r="G24" s="129"/>
      <c r="H24" s="129"/>
      <c r="I24" s="129"/>
      <c r="J24" s="129"/>
      <c r="O24" s="101" t="s">
        <v>15</v>
      </c>
      <c r="P24" s="102">
        <v>1000.12176</v>
      </c>
      <c r="Q24" s="50"/>
      <c r="R24" s="50"/>
      <c r="S24" s="50" t="s">
        <v>73</v>
      </c>
      <c r="T24" s="12" t="s">
        <v>74</v>
      </c>
      <c r="V24" s="12">
        <v>0.83</v>
      </c>
      <c r="W24" s="12" t="s">
        <v>69</v>
      </c>
    </row>
    <row r="25" spans="1:24" ht="18" customHeight="1">
      <c r="A25" s="188"/>
      <c r="B25" s="106" t="s">
        <v>75</v>
      </c>
      <c r="C25" s="107"/>
      <c r="D25" s="107"/>
      <c r="E25" s="108"/>
      <c r="F25" s="108"/>
      <c r="G25" s="108"/>
      <c r="H25" s="108"/>
      <c r="I25" s="108"/>
      <c r="J25" s="109"/>
      <c r="O25" s="103" t="s">
        <v>76</v>
      </c>
      <c r="P25" s="102">
        <v>220.09824</v>
      </c>
      <c r="Q25" s="50"/>
      <c r="R25" s="50"/>
      <c r="S25" s="50"/>
    </row>
    <row r="26" spans="1:24" ht="18" customHeight="1">
      <c r="A26" s="188"/>
      <c r="B26" s="110" t="s">
        <v>77</v>
      </c>
      <c r="C26" s="111"/>
      <c r="D26" s="111"/>
      <c r="E26" s="112"/>
      <c r="F26" s="112"/>
      <c r="G26" s="112"/>
      <c r="H26" s="112"/>
      <c r="I26" s="113"/>
      <c r="J26" s="114"/>
      <c r="O26" s="94"/>
      <c r="P26" s="95"/>
      <c r="Q26" s="50"/>
      <c r="R26" s="50"/>
      <c r="S26" s="50"/>
    </row>
    <row r="27" spans="1:24" ht="18" customHeight="1">
      <c r="A27" s="188"/>
      <c r="B27" s="115" t="s">
        <v>78</v>
      </c>
      <c r="C27" s="112"/>
      <c r="D27" s="112"/>
      <c r="E27" s="112"/>
      <c r="F27" s="112"/>
      <c r="G27" s="112"/>
      <c r="H27" s="112"/>
      <c r="I27" s="113"/>
      <c r="J27" s="114"/>
      <c r="O27" s="11"/>
      <c r="Q27" s="50"/>
      <c r="R27" s="50"/>
      <c r="S27" s="50"/>
    </row>
    <row r="28" spans="1:24" ht="18" customHeight="1">
      <c r="A28" s="188"/>
      <c r="B28" s="110" t="s">
        <v>79</v>
      </c>
      <c r="C28" s="111"/>
      <c r="D28" s="111"/>
      <c r="E28" s="112"/>
      <c r="F28" s="112"/>
      <c r="G28" s="112"/>
      <c r="H28" s="112"/>
      <c r="I28" s="113"/>
      <c r="J28" s="114"/>
    </row>
    <row r="29" spans="1:24" ht="18" customHeight="1">
      <c r="A29" s="188"/>
      <c r="B29" s="110" t="s">
        <v>80</v>
      </c>
      <c r="C29" s="111"/>
      <c r="D29" s="111"/>
      <c r="E29" s="112"/>
      <c r="F29" s="112"/>
      <c r="G29" s="112"/>
      <c r="H29" s="112"/>
      <c r="I29" s="113"/>
      <c r="J29" s="114"/>
    </row>
    <row r="30" spans="1:24" ht="18" customHeight="1">
      <c r="A30" s="188"/>
      <c r="B30" s="110"/>
      <c r="C30" s="111"/>
      <c r="D30" s="111"/>
      <c r="E30" s="112"/>
      <c r="F30" s="112"/>
      <c r="G30" s="112"/>
      <c r="H30" s="112"/>
      <c r="I30" s="113"/>
      <c r="J30" s="114"/>
    </row>
    <row r="31" spans="1:24" ht="15.6" customHeight="1">
      <c r="A31" s="188"/>
      <c r="B31" s="110" t="s">
        <v>81</v>
      </c>
      <c r="C31" s="111"/>
      <c r="D31" s="111"/>
      <c r="E31" s="112"/>
      <c r="F31" s="112"/>
      <c r="G31" s="112"/>
      <c r="H31" s="112"/>
      <c r="I31" s="113"/>
      <c r="J31" s="114"/>
    </row>
    <row r="32" spans="1:24" ht="15.6" customHeight="1">
      <c r="B32" s="115" t="s">
        <v>82</v>
      </c>
      <c r="C32" s="113"/>
      <c r="D32" s="113"/>
      <c r="E32" s="113"/>
      <c r="F32" s="113"/>
      <c r="G32" s="113"/>
      <c r="H32" s="113"/>
      <c r="I32" s="113"/>
      <c r="J32" s="114"/>
    </row>
    <row r="33" spans="2:10" ht="15.6" customHeight="1">
      <c r="B33" s="110"/>
      <c r="C33" s="116"/>
      <c r="D33" s="116"/>
      <c r="E33" s="113"/>
      <c r="F33" s="113"/>
      <c r="G33" s="113"/>
      <c r="H33" s="113"/>
      <c r="I33" s="113"/>
      <c r="J33" s="114"/>
    </row>
    <row r="34" spans="2:10" ht="15.6" customHeight="1">
      <c r="B34" s="110" t="s">
        <v>83</v>
      </c>
      <c r="C34" s="111"/>
      <c r="D34" s="111"/>
      <c r="E34" s="112"/>
      <c r="F34" s="113"/>
      <c r="G34" s="113"/>
      <c r="H34" s="113"/>
      <c r="I34" s="113"/>
      <c r="J34" s="114"/>
    </row>
    <row r="35" spans="2:10" ht="15.6" customHeight="1">
      <c r="B35" s="117" t="s">
        <v>84</v>
      </c>
      <c r="C35" s="118"/>
      <c r="D35" s="118"/>
      <c r="E35" s="118"/>
      <c r="F35" s="113"/>
      <c r="G35" s="113"/>
      <c r="H35" s="113"/>
      <c r="I35" s="113"/>
      <c r="J35" s="114"/>
    </row>
    <row r="36" spans="2:10" ht="15.6" customHeight="1">
      <c r="B36" s="110"/>
      <c r="C36" s="116"/>
      <c r="D36" s="116"/>
      <c r="E36" s="113"/>
      <c r="F36" s="113"/>
      <c r="G36" s="113"/>
      <c r="H36" s="113"/>
      <c r="I36" s="113"/>
      <c r="J36" s="114"/>
    </row>
    <row r="37" spans="2:10" ht="15.6" customHeight="1">
      <c r="B37" s="119" t="s">
        <v>85</v>
      </c>
      <c r="C37" s="120"/>
      <c r="D37" s="120"/>
      <c r="E37" s="120"/>
      <c r="F37" s="120"/>
      <c r="G37" s="120"/>
      <c r="H37" s="120"/>
      <c r="I37" s="113"/>
      <c r="J37" s="114"/>
    </row>
    <row r="38" spans="2:10" ht="19.5">
      <c r="B38" s="115" t="s">
        <v>86</v>
      </c>
      <c r="C38" s="121"/>
      <c r="D38" s="121"/>
      <c r="E38" s="120"/>
      <c r="F38" s="120"/>
      <c r="G38" s="120"/>
      <c r="H38" s="120"/>
      <c r="I38" s="113"/>
      <c r="J38" s="114"/>
    </row>
    <row r="39" spans="2:10" ht="19.5">
      <c r="B39" s="115" t="s">
        <v>87</v>
      </c>
      <c r="C39" s="121"/>
      <c r="D39" s="121"/>
      <c r="E39" s="122"/>
      <c r="F39" s="120"/>
      <c r="G39" s="120"/>
      <c r="H39" s="120"/>
      <c r="I39" s="113"/>
      <c r="J39" s="114"/>
    </row>
    <row r="40" spans="2:10" ht="19.5">
      <c r="B40" s="115" t="s">
        <v>88</v>
      </c>
      <c r="C40" s="121"/>
      <c r="D40" s="121"/>
      <c r="E40" s="120"/>
      <c r="F40" s="120"/>
      <c r="G40" s="120"/>
      <c r="H40" s="120"/>
      <c r="I40" s="113"/>
      <c r="J40" s="114"/>
    </row>
    <row r="41" spans="2:10" ht="19.5">
      <c r="B41" s="115" t="s">
        <v>89</v>
      </c>
      <c r="C41" s="121"/>
      <c r="D41" s="121"/>
      <c r="E41" s="120"/>
      <c r="F41" s="120"/>
      <c r="G41" s="120"/>
      <c r="H41" s="120"/>
      <c r="I41" s="113"/>
      <c r="J41" s="114"/>
    </row>
    <row r="42" spans="2:10" ht="19.5">
      <c r="B42" s="123"/>
      <c r="C42" s="120"/>
      <c r="D42" s="120"/>
      <c r="E42" s="120"/>
      <c r="F42" s="120"/>
      <c r="G42" s="120"/>
      <c r="H42" s="120"/>
      <c r="I42" s="113"/>
      <c r="J42" s="114"/>
    </row>
    <row r="43" spans="2:10" ht="19.5">
      <c r="B43" s="119" t="s">
        <v>90</v>
      </c>
      <c r="C43" s="120"/>
      <c r="D43" s="120"/>
      <c r="E43" s="120"/>
      <c r="F43" s="120"/>
      <c r="G43" s="120"/>
      <c r="H43" s="120"/>
      <c r="I43" s="113"/>
      <c r="J43" s="114"/>
    </row>
    <row r="44" spans="2:10" ht="19.5">
      <c r="B44" s="123" t="s">
        <v>91</v>
      </c>
      <c r="C44" s="120"/>
      <c r="D44" s="120"/>
      <c r="E44" s="120"/>
      <c r="F44" s="120"/>
      <c r="G44" s="120"/>
      <c r="H44" s="120"/>
      <c r="I44" s="113"/>
      <c r="J44" s="114"/>
    </row>
    <row r="45" spans="2:10" ht="19.5">
      <c r="B45" s="124" t="s">
        <v>92</v>
      </c>
      <c r="C45" s="120"/>
      <c r="D45" s="120"/>
      <c r="E45" s="120"/>
      <c r="F45" s="120"/>
      <c r="G45" s="120"/>
      <c r="H45" s="120"/>
      <c r="I45" s="113"/>
      <c r="J45" s="114"/>
    </row>
    <row r="46" spans="2:10" ht="19.5">
      <c r="B46" s="115" t="s">
        <v>93</v>
      </c>
      <c r="C46" s="121"/>
      <c r="D46" s="121"/>
      <c r="E46" s="120"/>
      <c r="F46" s="120"/>
      <c r="G46" s="120"/>
      <c r="H46" s="120"/>
      <c r="I46" s="113"/>
      <c r="J46" s="114"/>
    </row>
    <row r="47" spans="2:10" ht="5.25" customHeight="1">
      <c r="B47" s="125"/>
      <c r="C47" s="126"/>
      <c r="D47" s="126"/>
      <c r="E47" s="126"/>
      <c r="F47" s="126"/>
      <c r="G47" s="126"/>
      <c r="H47" s="126"/>
      <c r="I47" s="127"/>
      <c r="J47" s="128"/>
    </row>
  </sheetData>
  <sheetProtection algorithmName="SHA-512" hashValue="I6rwOV1yxnbM73m12QcuRnO9EWVQw4PQqL6B5Jxgz824udnJ1mZlmPORnJhILquC8EyWKu4tlflXm1q+KSUHlg==" saltValue="nJxniOnPGAh2ygsKLqBo5g==" spinCount="100000" sheet="1" selectLockedCells="1"/>
  <dataConsolidate/>
  <mergeCells count="20">
    <mergeCell ref="V1:V2"/>
    <mergeCell ref="W1:W2"/>
    <mergeCell ref="O19:W20"/>
    <mergeCell ref="O1:R2"/>
    <mergeCell ref="S1:T2"/>
    <mergeCell ref="U1:U2"/>
    <mergeCell ref="A1:A31"/>
    <mergeCell ref="B1:E1"/>
    <mergeCell ref="B20:C20"/>
    <mergeCell ref="O9:P9"/>
    <mergeCell ref="B10:F10"/>
    <mergeCell ref="G10:J10"/>
    <mergeCell ref="G3:H3"/>
    <mergeCell ref="I3:J3"/>
    <mergeCell ref="G4:H4"/>
    <mergeCell ref="I4:J4"/>
    <mergeCell ref="C2:E2"/>
    <mergeCell ref="G2:H2"/>
    <mergeCell ref="I2:J2"/>
    <mergeCell ref="G6:J6"/>
  </mergeCells>
  <conditionalFormatting sqref="F9 B10:B11">
    <cfRule type="cellIs" dxfId="14" priority="18" operator="lessThan">
      <formula>0</formula>
    </cfRule>
  </conditionalFormatting>
  <conditionalFormatting sqref="I2:I4">
    <cfRule type="cellIs" dxfId="13" priority="1" operator="lessThan">
      <formula>0</formula>
    </cfRule>
  </conditionalFormatting>
  <conditionalFormatting sqref="O9">
    <cfRule type="cellIs" dxfId="12" priority="21" operator="lessThan">
      <formula>0</formula>
    </cfRule>
  </conditionalFormatting>
  <conditionalFormatting sqref="O10:P10">
    <cfRule type="cellIs" dxfId="11" priority="20" operator="lessThan">
      <formula>0</formula>
    </cfRule>
  </conditionalFormatting>
  <conditionalFormatting sqref="Q7:R7">
    <cfRule type="cellIs" dxfId="10" priority="19" operator="lessThan">
      <formula>0</formula>
    </cfRule>
  </conditionalFormatting>
  <conditionalFormatting sqref="S4:S16">
    <cfRule type="cellIs" dxfId="9" priority="8" operator="equal">
      <formula>$B$23</formula>
    </cfRule>
    <cfRule type="cellIs" dxfId="8" priority="9" operator="equal">
      <formula>$B$23</formula>
    </cfRule>
  </conditionalFormatting>
  <dataValidations disablePrompts="1" count="3">
    <dataValidation type="list" allowBlank="1" showInputMessage="1" showErrorMessage="1" sqref="C19" xr:uid="{4B3C4784-C3B6-46B2-95C6-973B35DCF539}">
      <formula1>"0,1"</formula1>
    </dataValidation>
    <dataValidation type="list" allowBlank="1" showInputMessage="1" showErrorMessage="1" sqref="B21" xr:uid="{522792DC-419E-4D4D-A186-94F004A03682}">
      <formula1>$S$4:$S$16</formula1>
    </dataValidation>
    <dataValidation type="list" allowBlank="1" showInputMessage="1" showErrorMessage="1" sqref="E14" xr:uid="{29C50D95-FEC6-410D-A188-4F34F9BD1C61}">
      <formula1>$S$23:$S$24</formula1>
    </dataValidation>
  </dataValidations>
  <hyperlinks>
    <hyperlink ref="B10:F10" r:id="rId1" display="Video Anleitung Bedienung Kalkulator" xr:uid="{0011C025-6D38-422A-8432-DC6F3FEC8B7C}"/>
    <hyperlink ref="B32" r:id="rId2" location="karte" xr:uid="{B1D58882-F18B-41AC-944E-650F1F5DA7A4}"/>
    <hyperlink ref="B38" r:id="rId3" display="https://neoom.com/loesungen-eeg" xr:uid="{546DD585-4CAE-4954-BF3A-7967F9B17B62}"/>
    <hyperlink ref="B39" r:id="rId4" display="https://wissen.neoom.com/stromlieferung-und-verteilung" xr:uid="{9169D6ED-759A-4871-9A38-F32E7A6EE834}"/>
    <hyperlink ref="B40" r:id="rId5" display="https://wissen.neoom.com/schritt-fuer-schritt-anleitung-kluub" xr:uid="{29488339-F3C0-4C51-82B4-0D1409A8E818}"/>
    <hyperlink ref="B41" r:id="rId6" display="https://wissen.neoom.com/erklaerung-des-tarifblattes" xr:uid="{8AC2C029-63B9-4F46-B203-7B82DB8DB331}"/>
    <hyperlink ref="B46" r:id="rId7" xr:uid="{10BD5397-F8BC-4010-A316-760CAD1CA015}"/>
    <hyperlink ref="B27" r:id="rId8" xr:uid="{DBF49F9B-60C9-42F1-AB20-08635F1BA498}"/>
    <hyperlink ref="B35" r:id="rId9" xr:uid="{5EFB21DA-D955-40B1-BC93-753290E98CCC}"/>
    <hyperlink ref="B34:E34" r:id="rId10" display="https://www.youtube.com/playlist?list=PL3qdefEcGLAmZjl1VvCzxRULtSCNv9lJ4" xr:uid="{24062605-5AC4-4076-AA50-7823B7DD4368}"/>
  </hyperlinks>
  <pageMargins left="0.7" right="0.7" top="0.78740157499999996" bottom="0.78740157499999996" header="0.3" footer="0.3"/>
  <pageSetup paperSize="9" scale="70" orientation="landscape" horizontalDpi="360" verticalDpi="360" r:id="rId11"/>
  <rowBreaks count="1" manualBreakCount="1">
    <brk id="22" max="16383" man="1"/>
  </rowBreaks>
  <drawing r:id="rId12"/>
  <legacy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664D9-7D9C-4062-B4ED-327FBE532CB2}">
  <dimension ref="A1:W47"/>
  <sheetViews>
    <sheetView showGridLines="0" tabSelected="1" zoomScale="70" zoomScaleNormal="70" workbookViewId="0">
      <selection activeCell="U5" sqref="U5"/>
    </sheetView>
  </sheetViews>
  <sheetFormatPr defaultColWidth="10.42578125" defaultRowHeight="16.5"/>
  <cols>
    <col min="1" max="1" width="3.42578125" style="12" customWidth="1"/>
    <col min="2" max="2" width="39.42578125" style="12" customWidth="1"/>
    <col min="3" max="3" width="9.85546875" style="12" bestFit="1" customWidth="1"/>
    <col min="4" max="4" width="11.7109375" style="12" bestFit="1" customWidth="1"/>
    <col min="5" max="5" width="16.5703125" style="12" bestFit="1" customWidth="1"/>
    <col min="6" max="6" width="9.42578125" style="12" customWidth="1"/>
    <col min="7" max="7" width="13.28515625" style="12" bestFit="1" customWidth="1"/>
    <col min="8" max="8" width="14.5703125" style="12" bestFit="1" customWidth="1"/>
    <col min="9" max="10" width="10.140625" style="12" customWidth="1"/>
    <col min="11" max="11" width="4.28515625" style="12" customWidth="1"/>
    <col min="12" max="12" width="15.85546875" style="50" customWidth="1"/>
    <col min="13" max="14" width="11.140625" style="50" customWidth="1"/>
    <col min="15" max="15" width="16.28515625" style="12" customWidth="1"/>
    <col min="16" max="16" width="16.140625" style="12" customWidth="1"/>
    <col min="17" max="17" width="17.140625" style="12" customWidth="1"/>
    <col min="18" max="19" width="21.85546875" style="12" customWidth="1"/>
    <col min="20" max="20" width="14.5703125" style="12" customWidth="1"/>
    <col min="21" max="21" width="19.140625" style="12" customWidth="1"/>
    <col min="22" max="22" width="17.5703125" style="12" customWidth="1"/>
    <col min="23" max="23" width="24.7109375" style="12" customWidth="1"/>
    <col min="24" max="16384" width="10.42578125" style="12"/>
  </cols>
  <sheetData>
    <row r="1" spans="1:23" ht="68.099999999999994" customHeight="1" thickBot="1">
      <c r="A1" s="188"/>
      <c r="B1" s="189" t="s">
        <v>0</v>
      </c>
      <c r="C1" s="190"/>
      <c r="D1" s="190"/>
      <c r="E1" s="190"/>
      <c r="I1" s="13"/>
      <c r="J1" s="13"/>
      <c r="K1" s="13"/>
      <c r="L1" s="13"/>
      <c r="M1" s="13"/>
      <c r="N1" s="13"/>
      <c r="O1" s="219" t="s">
        <v>1</v>
      </c>
      <c r="P1" s="220"/>
      <c r="Q1" s="220"/>
      <c r="R1" s="221"/>
      <c r="S1" s="219" t="s">
        <v>2</v>
      </c>
      <c r="T1" s="221"/>
      <c r="U1" s="217" t="s">
        <v>3</v>
      </c>
      <c r="V1" s="215" t="s">
        <v>4</v>
      </c>
      <c r="W1" s="217" t="s">
        <v>5</v>
      </c>
    </row>
    <row r="2" spans="1:23" ht="39.950000000000003" customHeight="1" thickBot="1">
      <c r="A2" s="188"/>
      <c r="B2" s="14"/>
      <c r="C2" s="205" t="s">
        <v>6</v>
      </c>
      <c r="D2" s="206"/>
      <c r="E2" s="207"/>
      <c r="G2" s="208" t="s">
        <v>7</v>
      </c>
      <c r="H2" s="209"/>
      <c r="I2" s="210">
        <f>((C14*1.2-(C16*(1+0.2*C19))+C21)*E5/100)-R7-Q8+((C16-C15)*E4/100)</f>
        <v>179.81766399999998</v>
      </c>
      <c r="J2" s="211"/>
      <c r="K2" s="13"/>
      <c r="L2" s="13"/>
      <c r="M2" s="13"/>
      <c r="N2" s="13"/>
      <c r="O2" s="222"/>
      <c r="P2" s="223"/>
      <c r="Q2" s="223"/>
      <c r="R2" s="224"/>
      <c r="S2" s="225"/>
      <c r="T2" s="226"/>
      <c r="U2" s="227"/>
      <c r="V2" s="216"/>
      <c r="W2" s="216"/>
    </row>
    <row r="3" spans="1:23" ht="33.75" thickBot="1">
      <c r="A3" s="188"/>
      <c r="B3" s="15"/>
      <c r="C3" s="16" t="s">
        <v>8</v>
      </c>
      <c r="D3" s="17" t="s">
        <v>9</v>
      </c>
      <c r="E3" s="18" t="s">
        <v>10</v>
      </c>
      <c r="G3" s="197" t="s">
        <v>11</v>
      </c>
      <c r="H3" s="198"/>
      <c r="I3" s="199">
        <f>((C14+R12)*1.2*C5-C15*C4)/100</f>
        <v>746.08</v>
      </c>
      <c r="J3" s="200"/>
      <c r="K3" s="13"/>
      <c r="L3" s="13"/>
      <c r="M3" s="13"/>
      <c r="N3" s="13"/>
      <c r="O3" s="19" t="s">
        <v>12</v>
      </c>
      <c r="P3" s="20" t="s">
        <v>13</v>
      </c>
      <c r="Q3" s="20" t="s">
        <v>14</v>
      </c>
      <c r="R3" s="21" t="s">
        <v>15</v>
      </c>
      <c r="S3" s="22" t="s">
        <v>16</v>
      </c>
      <c r="T3" s="23" t="s">
        <v>14</v>
      </c>
      <c r="U3" s="23" t="s">
        <v>14</v>
      </c>
      <c r="V3" s="23" t="s">
        <v>14</v>
      </c>
      <c r="W3" s="23" t="s">
        <v>14</v>
      </c>
    </row>
    <row r="4" spans="1:23" s="33" customFormat="1" ht="33" customHeight="1" thickBot="1">
      <c r="A4" s="188"/>
      <c r="B4" s="24" t="s">
        <v>17</v>
      </c>
      <c r="C4" s="2">
        <v>5000</v>
      </c>
      <c r="D4" s="2">
        <v>40</v>
      </c>
      <c r="E4" s="25">
        <f>C4*D4/100</f>
        <v>2000</v>
      </c>
      <c r="F4" s="12"/>
      <c r="G4" s="201" t="s">
        <v>18</v>
      </c>
      <c r="H4" s="202"/>
      <c r="I4" s="203">
        <f>((((C14+R12)*1.2*(C5-E5)/100)+(C16*(1+0.2*C19))*E5/100+((R12-R13)*1.2*E5/100)+R7+Q8-((C16-C15)*E4/100)))-C15*C4/100</f>
        <v>566.262336</v>
      </c>
      <c r="J4" s="204"/>
      <c r="K4" s="13"/>
      <c r="L4" s="13"/>
      <c r="M4" s="13"/>
      <c r="N4" s="13"/>
      <c r="O4" s="26">
        <v>1</v>
      </c>
      <c r="P4" s="27">
        <v>500</v>
      </c>
      <c r="Q4" s="28">
        <v>0.01</v>
      </c>
      <c r="R4" s="29">
        <f>IF(O4&lt;=$E$6,MIN($E$6-N(P3),P4-N(P3))*Q4,0)</f>
        <v>5</v>
      </c>
      <c r="S4" s="30" t="s">
        <v>19</v>
      </c>
      <c r="T4" s="31">
        <v>8.4600000000000009</v>
      </c>
      <c r="U4" s="32">
        <f>IF($E$14="Privat",0.72,1.45)</f>
        <v>1.45</v>
      </c>
      <c r="V4" s="32">
        <f>T4*0.28</f>
        <v>2.3688000000000007</v>
      </c>
      <c r="W4" s="31">
        <f>V4+U4</f>
        <v>3.8188000000000004</v>
      </c>
    </row>
    <row r="5" spans="1:23" ht="33" customHeight="1" thickBot="1">
      <c r="A5" s="188"/>
      <c r="B5" s="34" t="s">
        <v>20</v>
      </c>
      <c r="C5" s="3">
        <v>4000</v>
      </c>
      <c r="D5" s="2">
        <v>31</v>
      </c>
      <c r="E5" s="35">
        <f>(C5)*D5/100</f>
        <v>1240</v>
      </c>
      <c r="K5" s="133"/>
      <c r="L5" s="133"/>
      <c r="M5" s="133"/>
      <c r="N5" s="133"/>
      <c r="O5" s="36">
        <v>501</v>
      </c>
      <c r="P5" s="37">
        <v>200000</v>
      </c>
      <c r="Q5" s="38">
        <v>0.01</v>
      </c>
      <c r="R5" s="39">
        <f>IF(O5&lt;=$E$6,MIN($E$6-N(P4),P5-N(P4))*Q5,0)</f>
        <v>27.400000000000002</v>
      </c>
      <c r="S5" s="40" t="s">
        <v>21</v>
      </c>
      <c r="T5" s="41">
        <v>9.67</v>
      </c>
      <c r="U5" s="42">
        <f>IF($E$14="Privat",0.72,1.45)</f>
        <v>1.45</v>
      </c>
      <c r="V5" s="42">
        <f t="shared" ref="V5:V16" si="0">T5*0.28</f>
        <v>2.7076000000000002</v>
      </c>
      <c r="W5" s="43">
        <f t="shared" ref="W5:W16" si="1">V5+U5</f>
        <v>4.1576000000000004</v>
      </c>
    </row>
    <row r="6" spans="1:23" ht="21.95" customHeight="1" thickBot="1">
      <c r="A6" s="188"/>
      <c r="B6" s="44"/>
      <c r="C6" s="45"/>
      <c r="D6" s="46"/>
      <c r="E6" s="137">
        <f>SUM(E4:E5)</f>
        <v>3240</v>
      </c>
      <c r="G6" s="212" t="s">
        <v>22</v>
      </c>
      <c r="H6" s="213"/>
      <c r="I6" s="213"/>
      <c r="J6" s="214"/>
      <c r="K6" s="133"/>
      <c r="L6" s="130"/>
      <c r="M6" s="131" t="s">
        <v>23</v>
      </c>
      <c r="N6" s="132" t="s">
        <v>24</v>
      </c>
      <c r="O6" s="36">
        <v>200001</v>
      </c>
      <c r="P6" s="47">
        <v>1000000</v>
      </c>
      <c r="Q6" s="48">
        <v>8.3333000000000001E-3</v>
      </c>
      <c r="R6" s="49">
        <f>IF(O6&lt;=$E$6,MIN($E$6-N(P5),P6-N(P5))*Q6,0)</f>
        <v>0</v>
      </c>
      <c r="S6" s="40" t="s">
        <v>25</v>
      </c>
      <c r="T6" s="41">
        <v>6.9</v>
      </c>
      <c r="U6" s="42">
        <f t="shared" ref="U6:U16" si="2">IF($E$14="Privat",0.72,1.45)</f>
        <v>1.45</v>
      </c>
      <c r="V6" s="42">
        <f t="shared" si="0"/>
        <v>1.9320000000000004</v>
      </c>
      <c r="W6" s="43">
        <f t="shared" si="1"/>
        <v>3.3820000000000006</v>
      </c>
    </row>
    <row r="7" spans="1:23" ht="25.5" thickBot="1">
      <c r="A7" s="188"/>
      <c r="B7" s="50"/>
      <c r="C7" s="50"/>
      <c r="D7" s="50"/>
      <c r="E7" s="138" t="s">
        <v>26</v>
      </c>
      <c r="F7" s="51"/>
      <c r="G7" s="228" t="str">
        <f>TEXT(M14,"##,#")&amp;" ct"</f>
        <v>23,7 ct</v>
      </c>
      <c r="H7" s="229"/>
      <c r="I7" s="135">
        <f>N14</f>
        <v>16.608639999999998</v>
      </c>
      <c r="J7" s="136" t="s">
        <v>27</v>
      </c>
      <c r="K7" s="133"/>
      <c r="L7" s="130" t="s">
        <v>28</v>
      </c>
      <c r="M7" s="142">
        <f>C14</f>
        <v>12</v>
      </c>
      <c r="N7" s="142">
        <v>0</v>
      </c>
      <c r="O7" s="52"/>
      <c r="P7" s="53"/>
      <c r="Q7" s="54" t="s">
        <v>29</v>
      </c>
      <c r="R7" s="55">
        <f>SUM(R4:R6)</f>
        <v>32.400000000000006</v>
      </c>
      <c r="S7" s="40" t="s">
        <v>30</v>
      </c>
      <c r="T7" s="41">
        <v>8.7899999999999991</v>
      </c>
      <c r="U7" s="42">
        <f t="shared" si="2"/>
        <v>1.45</v>
      </c>
      <c r="V7" s="42">
        <f t="shared" si="0"/>
        <v>2.4611999999999998</v>
      </c>
      <c r="W7" s="43">
        <f t="shared" si="1"/>
        <v>3.9112</v>
      </c>
    </row>
    <row r="8" spans="1:23" ht="20.100000000000001" customHeight="1" thickBot="1">
      <c r="A8" s="188"/>
      <c r="B8" s="56" t="s">
        <v>31</v>
      </c>
      <c r="E8" s="57"/>
      <c r="K8" s="133"/>
      <c r="L8" s="130" t="s">
        <v>32</v>
      </c>
      <c r="M8" s="142">
        <v>0</v>
      </c>
      <c r="N8" s="142">
        <f>C16</f>
        <v>10</v>
      </c>
      <c r="O8" s="58" t="s">
        <v>94</v>
      </c>
      <c r="P8" s="59"/>
      <c r="Q8" s="60">
        <f>VLOOKUP(C17,O11:P16,2)*4*C18/1.2</f>
        <v>10</v>
      </c>
      <c r="R8" s="61"/>
      <c r="S8" s="62" t="s">
        <v>34</v>
      </c>
      <c r="T8" s="41">
        <v>6.26</v>
      </c>
      <c r="U8" s="42">
        <f t="shared" si="2"/>
        <v>1.45</v>
      </c>
      <c r="V8" s="42">
        <f t="shared" si="0"/>
        <v>1.7528000000000001</v>
      </c>
      <c r="W8" s="43">
        <f t="shared" si="1"/>
        <v>3.2027999999999999</v>
      </c>
    </row>
    <row r="9" spans="1:23" ht="30" customHeight="1" thickBot="1">
      <c r="A9" s="188"/>
      <c r="B9" s="63" t="s">
        <v>35</v>
      </c>
      <c r="F9" s="1"/>
      <c r="G9" s="1"/>
      <c r="H9" s="1"/>
      <c r="I9" s="1"/>
      <c r="J9" s="1"/>
      <c r="K9" s="92"/>
      <c r="L9" s="130" t="s">
        <v>36</v>
      </c>
      <c r="M9" s="142">
        <f>C22/1.2-$U$4</f>
        <v>6.2599999999999989</v>
      </c>
      <c r="N9" s="142">
        <f>(C22-C21)/1.2</f>
        <v>4.5071999999999992</v>
      </c>
      <c r="O9" s="230" t="s">
        <v>37</v>
      </c>
      <c r="P9" s="231"/>
      <c r="Q9" s="64"/>
      <c r="R9" s="61"/>
      <c r="S9" s="65" t="s">
        <v>38</v>
      </c>
      <c r="T9" s="41">
        <v>5.57</v>
      </c>
      <c r="U9" s="42">
        <f t="shared" si="2"/>
        <v>1.45</v>
      </c>
      <c r="V9" s="42">
        <f t="shared" si="0"/>
        <v>1.5596000000000003</v>
      </c>
      <c r="W9" s="43">
        <f t="shared" si="1"/>
        <v>3.0096000000000003</v>
      </c>
    </row>
    <row r="10" spans="1:23" ht="20.100000000000001" customHeight="1" thickBot="1">
      <c r="A10" s="188"/>
      <c r="B10" s="195" t="s">
        <v>39</v>
      </c>
      <c r="C10" s="195"/>
      <c r="D10" s="195"/>
      <c r="E10" s="195"/>
      <c r="F10" s="195"/>
      <c r="G10" s="196"/>
      <c r="H10" s="196"/>
      <c r="I10" s="196"/>
      <c r="J10" s="196"/>
      <c r="K10" s="92"/>
      <c r="L10" s="130" t="s">
        <v>40</v>
      </c>
      <c r="M10" s="142">
        <f>IF(E14="Privat",V23,V24)</f>
        <v>0.83</v>
      </c>
      <c r="N10" s="142">
        <v>0</v>
      </c>
      <c r="O10" s="67" t="s">
        <v>41</v>
      </c>
      <c r="P10" s="68" t="s">
        <v>42</v>
      </c>
      <c r="R10" s="61"/>
      <c r="S10" s="65" t="s">
        <v>43</v>
      </c>
      <c r="T10" s="41">
        <v>6.59</v>
      </c>
      <c r="U10" s="42">
        <f t="shared" si="2"/>
        <v>1.45</v>
      </c>
      <c r="V10" s="42">
        <f t="shared" si="0"/>
        <v>1.8452000000000002</v>
      </c>
      <c r="W10" s="43">
        <f t="shared" si="1"/>
        <v>3.2952000000000004</v>
      </c>
    </row>
    <row r="11" spans="1:23" ht="20.100000000000001" customHeight="1">
      <c r="A11" s="188"/>
      <c r="B11" s="10"/>
      <c r="C11" s="10"/>
      <c r="D11" s="10"/>
      <c r="E11" s="10"/>
      <c r="F11" s="10"/>
      <c r="G11" s="66"/>
      <c r="H11" s="66"/>
      <c r="I11" s="66"/>
      <c r="J11" s="66"/>
      <c r="K11" s="92"/>
      <c r="L11" s="130" t="s">
        <v>44</v>
      </c>
      <c r="M11" s="142">
        <f>V22</f>
        <v>0.62</v>
      </c>
      <c r="N11" s="142">
        <v>0</v>
      </c>
      <c r="O11" s="69">
        <v>10</v>
      </c>
      <c r="P11" s="70">
        <v>3</v>
      </c>
      <c r="Q11" s="71"/>
      <c r="R11" s="72"/>
      <c r="S11" s="65" t="s">
        <v>45</v>
      </c>
      <c r="T11" s="41">
        <v>8.82</v>
      </c>
      <c r="U11" s="42">
        <f t="shared" si="2"/>
        <v>1.45</v>
      </c>
      <c r="V11" s="42">
        <f t="shared" si="0"/>
        <v>2.4696000000000002</v>
      </c>
      <c r="W11" s="43">
        <f t="shared" si="1"/>
        <v>3.9196</v>
      </c>
    </row>
    <row r="12" spans="1:23" ht="29.1" customHeight="1" thickBot="1">
      <c r="A12" s="188"/>
      <c r="K12" s="92"/>
      <c r="L12" s="130" t="s">
        <v>46</v>
      </c>
      <c r="M12" s="142">
        <v>0</v>
      </c>
      <c r="N12" s="142">
        <f>R7/E6*100</f>
        <v>1.0000000000000002</v>
      </c>
      <c r="O12" s="69">
        <v>20</v>
      </c>
      <c r="P12" s="75">
        <v>3</v>
      </c>
      <c r="Q12" s="76" t="s">
        <v>47</v>
      </c>
      <c r="R12" s="77">
        <f>C22/1.2</f>
        <v>7.7099999999999991</v>
      </c>
      <c r="S12" s="65" t="s">
        <v>48</v>
      </c>
      <c r="T12" s="41">
        <v>5.17</v>
      </c>
      <c r="U12" s="42">
        <f t="shared" si="2"/>
        <v>1.45</v>
      </c>
      <c r="V12" s="42">
        <f t="shared" si="0"/>
        <v>1.4476000000000002</v>
      </c>
      <c r="W12" s="43">
        <f t="shared" si="1"/>
        <v>2.8976000000000002</v>
      </c>
    </row>
    <row r="13" spans="1:23" ht="29.1" customHeight="1" thickBot="1">
      <c r="A13" s="188"/>
      <c r="B13" s="73" t="s">
        <v>49</v>
      </c>
      <c r="C13" s="74" t="s">
        <v>14</v>
      </c>
      <c r="E13" s="144" t="s">
        <v>50</v>
      </c>
      <c r="K13" s="92"/>
      <c r="L13" s="130" t="s">
        <v>51</v>
      </c>
      <c r="M13" s="142">
        <f>SUM(M7:M11)*0.2</f>
        <v>3.9419999999999997</v>
      </c>
      <c r="N13" s="142">
        <f>N8*(0.2*C19)+(N9+N12)*0.2</f>
        <v>1.10144</v>
      </c>
      <c r="O13" s="69">
        <v>30</v>
      </c>
      <c r="P13" s="75">
        <v>3</v>
      </c>
      <c r="Q13" s="76" t="s">
        <v>52</v>
      </c>
      <c r="R13" s="79">
        <f>C21/1.2</f>
        <v>3.2027999999999999</v>
      </c>
      <c r="S13" s="65" t="s">
        <v>53</v>
      </c>
      <c r="T13" s="41">
        <v>6.81</v>
      </c>
      <c r="U13" s="42">
        <f t="shared" si="2"/>
        <v>1.45</v>
      </c>
      <c r="V13" s="42">
        <f t="shared" si="0"/>
        <v>1.9068000000000001</v>
      </c>
      <c r="W13" s="43">
        <f t="shared" si="1"/>
        <v>3.3567999999999998</v>
      </c>
    </row>
    <row r="14" spans="1:23" ht="17.100000000000001" customHeight="1" thickBot="1">
      <c r="A14" s="188"/>
      <c r="B14" s="78" t="s">
        <v>54</v>
      </c>
      <c r="C14" s="4">
        <v>12</v>
      </c>
      <c r="E14" s="145" t="s">
        <v>73</v>
      </c>
      <c r="F14" s="96"/>
      <c r="G14" s="97"/>
      <c r="H14" s="98"/>
      <c r="I14" s="98"/>
      <c r="K14" s="92"/>
      <c r="L14" s="130" t="s">
        <v>56</v>
      </c>
      <c r="M14" s="142">
        <f>SUM(M7:M13)</f>
        <v>23.651999999999997</v>
      </c>
      <c r="N14" s="142">
        <f>SUM(N7:N13)</f>
        <v>16.608639999999998</v>
      </c>
      <c r="O14" s="69">
        <v>40</v>
      </c>
      <c r="P14" s="70">
        <v>3</v>
      </c>
      <c r="R14" s="61"/>
      <c r="S14" s="65" t="s">
        <v>57</v>
      </c>
      <c r="T14" s="41">
        <v>8.0299999999999994</v>
      </c>
      <c r="U14" s="42">
        <f t="shared" si="2"/>
        <v>1.45</v>
      </c>
      <c r="V14" s="42">
        <f t="shared" si="0"/>
        <v>2.2484000000000002</v>
      </c>
      <c r="W14" s="43">
        <f t="shared" si="1"/>
        <v>3.6984000000000004</v>
      </c>
    </row>
    <row r="15" spans="1:23" ht="19.5" customHeight="1" thickBot="1">
      <c r="A15" s="188"/>
      <c r="B15" s="80" t="s">
        <v>58</v>
      </c>
      <c r="C15" s="5">
        <v>4</v>
      </c>
      <c r="E15" s="99"/>
      <c r="F15" s="93"/>
      <c r="G15" s="93"/>
      <c r="H15" s="93"/>
      <c r="I15" s="93"/>
      <c r="K15" s="92"/>
      <c r="L15" s="92"/>
      <c r="M15" s="92"/>
      <c r="N15" s="92"/>
      <c r="O15" s="81">
        <v>50</v>
      </c>
      <c r="P15" s="82">
        <v>3</v>
      </c>
      <c r="R15" s="61"/>
      <c r="S15" s="65" t="s">
        <v>59</v>
      </c>
      <c r="T15" s="41">
        <v>4.96</v>
      </c>
      <c r="U15" s="42">
        <f t="shared" si="2"/>
        <v>1.45</v>
      </c>
      <c r="V15" s="42">
        <f t="shared" si="0"/>
        <v>1.3888</v>
      </c>
      <c r="W15" s="43">
        <f t="shared" si="1"/>
        <v>2.8388</v>
      </c>
    </row>
    <row r="16" spans="1:23" ht="19.5" customHeight="1" thickBot="1">
      <c r="A16" s="188"/>
      <c r="B16" s="80" t="s">
        <v>60</v>
      </c>
      <c r="C16" s="6">
        <v>10</v>
      </c>
      <c r="E16" s="93"/>
      <c r="F16" s="93"/>
      <c r="G16" s="93"/>
      <c r="H16" s="93"/>
      <c r="I16" s="93"/>
      <c r="K16" s="92"/>
      <c r="L16" s="92"/>
      <c r="M16" s="92"/>
      <c r="N16" s="92"/>
      <c r="O16" s="83">
        <v>100</v>
      </c>
      <c r="P16" s="84">
        <v>3</v>
      </c>
      <c r="Q16" s="85"/>
      <c r="R16" s="86"/>
      <c r="S16" s="87" t="s">
        <v>61</v>
      </c>
      <c r="T16" s="88">
        <v>6.98</v>
      </c>
      <c r="U16" s="89">
        <f t="shared" si="2"/>
        <v>1.45</v>
      </c>
      <c r="V16" s="89">
        <f t="shared" si="0"/>
        <v>1.9544000000000004</v>
      </c>
      <c r="W16" s="90">
        <f t="shared" si="1"/>
        <v>3.4044000000000003</v>
      </c>
    </row>
    <row r="17" spans="1:23" ht="19.5" customHeight="1" thickBot="1">
      <c r="A17" s="188"/>
      <c r="B17" s="80" t="s">
        <v>62</v>
      </c>
      <c r="C17" s="7">
        <v>100</v>
      </c>
      <c r="E17" s="93"/>
      <c r="F17" s="93"/>
      <c r="G17" s="93"/>
      <c r="H17" s="93"/>
      <c r="I17" s="93"/>
      <c r="K17" s="92"/>
      <c r="L17" s="92"/>
      <c r="M17" s="92"/>
      <c r="N17" s="92"/>
    </row>
    <row r="18" spans="1:23" ht="19.5" customHeight="1" thickBot="1">
      <c r="A18" s="188"/>
      <c r="B18" s="80" t="s">
        <v>63</v>
      </c>
      <c r="C18" s="8">
        <v>1</v>
      </c>
      <c r="E18" s="93"/>
      <c r="F18" s="93"/>
      <c r="G18" s="93"/>
      <c r="H18" s="93"/>
      <c r="I18" s="93"/>
      <c r="K18" s="92"/>
      <c r="L18" s="92"/>
      <c r="M18" s="92"/>
      <c r="N18" s="92"/>
      <c r="O18" s="92"/>
    </row>
    <row r="19" spans="1:23" ht="19.5" customHeight="1" thickBot="1">
      <c r="A19" s="188"/>
      <c r="B19" s="91" t="s">
        <v>64</v>
      </c>
      <c r="C19" s="9">
        <v>0</v>
      </c>
      <c r="E19" s="93"/>
      <c r="F19" s="93"/>
      <c r="G19" s="93"/>
      <c r="H19" s="93"/>
      <c r="I19" s="93"/>
      <c r="O19" s="232" t="s">
        <v>95</v>
      </c>
      <c r="P19" s="232"/>
      <c r="Q19" s="232"/>
      <c r="R19" s="232"/>
      <c r="S19" s="232"/>
      <c r="T19" s="232"/>
      <c r="U19" s="232"/>
      <c r="V19" s="232"/>
      <c r="W19" s="232"/>
    </row>
    <row r="20" spans="1:23" ht="19.5" customHeight="1" thickBot="1">
      <c r="A20" s="188"/>
      <c r="B20" s="191" t="s">
        <v>66</v>
      </c>
      <c r="C20" s="192"/>
      <c r="E20" s="93"/>
      <c r="F20" s="93"/>
      <c r="G20" s="93"/>
      <c r="H20" s="93"/>
      <c r="I20" s="93"/>
      <c r="O20" s="232"/>
      <c r="P20" s="232"/>
      <c r="Q20" s="232"/>
      <c r="R20" s="232"/>
      <c r="S20" s="232"/>
      <c r="T20" s="232"/>
      <c r="U20" s="232"/>
      <c r="V20" s="232"/>
      <c r="W20" s="232"/>
    </row>
    <row r="21" spans="1:23" ht="19.5" customHeight="1" thickBot="1">
      <c r="A21" s="188"/>
      <c r="B21" s="139" t="s">
        <v>34</v>
      </c>
      <c r="C21" s="140">
        <f>VLOOKUP($B$21,$S$4:$W$16,5)*1.2</f>
        <v>3.8433599999999997</v>
      </c>
      <c r="E21" s="93"/>
      <c r="F21" s="93"/>
      <c r="G21" s="93"/>
      <c r="H21" s="93"/>
      <c r="I21" s="93"/>
    </row>
    <row r="22" spans="1:23" ht="19.5" customHeight="1" thickBot="1">
      <c r="A22" s="188"/>
      <c r="B22" s="105" t="s">
        <v>67</v>
      </c>
      <c r="C22" s="141">
        <f>(VLOOKUP($B$21,$S$4:$W$16,2)+$U$4)*1.2</f>
        <v>9.2519999999999989</v>
      </c>
      <c r="E22" s="93"/>
      <c r="F22" s="93"/>
      <c r="G22" s="93"/>
      <c r="H22" s="93"/>
      <c r="I22" s="93"/>
      <c r="S22" s="50"/>
      <c r="T22" s="12" t="s">
        <v>68</v>
      </c>
      <c r="V22" s="12">
        <f>0.583+0.037</f>
        <v>0.62</v>
      </c>
      <c r="W22" s="12" t="s">
        <v>69</v>
      </c>
    </row>
    <row r="23" spans="1:23" ht="18" customHeight="1">
      <c r="A23" s="188"/>
      <c r="B23" s="92" t="str">
        <f>Kompakt2026!B23</f>
        <v>Rev. 27; 01_2026</v>
      </c>
      <c r="E23" s="93"/>
      <c r="F23" s="93"/>
      <c r="G23" s="93"/>
      <c r="H23" s="93"/>
      <c r="I23" s="93"/>
      <c r="S23" s="50" t="s">
        <v>55</v>
      </c>
      <c r="T23" s="12" t="s">
        <v>72</v>
      </c>
      <c r="V23" s="12">
        <v>0.1</v>
      </c>
      <c r="W23" s="12" t="s">
        <v>69</v>
      </c>
    </row>
    <row r="24" spans="1:23" ht="18" customHeight="1">
      <c r="A24" s="188"/>
      <c r="B24" s="129"/>
      <c r="C24" s="129"/>
      <c r="D24" s="129"/>
      <c r="E24" s="129"/>
      <c r="F24" s="129"/>
      <c r="G24" s="129"/>
      <c r="H24" s="129"/>
      <c r="I24" s="129"/>
      <c r="J24" s="129"/>
      <c r="S24" s="50" t="s">
        <v>73</v>
      </c>
      <c r="T24" s="12" t="s">
        <v>74</v>
      </c>
      <c r="V24" s="12">
        <v>0.83</v>
      </c>
      <c r="W24" s="12" t="s">
        <v>69</v>
      </c>
    </row>
    <row r="25" spans="1:23" ht="18" customHeight="1">
      <c r="A25" s="188"/>
      <c r="B25" s="106" t="s">
        <v>75</v>
      </c>
      <c r="C25" s="107"/>
      <c r="D25" s="107"/>
      <c r="E25" s="108"/>
      <c r="F25" s="108"/>
      <c r="G25" s="108"/>
      <c r="H25" s="108"/>
      <c r="I25" s="108"/>
      <c r="J25" s="109"/>
    </row>
    <row r="26" spans="1:23" ht="18" customHeight="1">
      <c r="A26" s="188"/>
      <c r="B26" s="110" t="s">
        <v>77</v>
      </c>
      <c r="C26" s="111"/>
      <c r="D26" s="111"/>
      <c r="E26" s="112"/>
      <c r="F26" s="112"/>
      <c r="G26" s="112"/>
      <c r="H26" s="112"/>
      <c r="I26" s="113"/>
      <c r="J26" s="114"/>
    </row>
    <row r="27" spans="1:23" ht="18" customHeight="1">
      <c r="A27" s="188"/>
      <c r="B27" s="115" t="s">
        <v>78</v>
      </c>
      <c r="C27" s="112"/>
      <c r="D27" s="112"/>
      <c r="E27" s="112"/>
      <c r="F27" s="112"/>
      <c r="G27" s="112"/>
      <c r="H27" s="112"/>
      <c r="I27" s="113"/>
      <c r="J27" s="114"/>
    </row>
    <row r="28" spans="1:23" ht="18" customHeight="1">
      <c r="A28" s="188"/>
      <c r="B28" s="110" t="s">
        <v>79</v>
      </c>
      <c r="C28" s="111"/>
      <c r="D28" s="111"/>
      <c r="E28" s="112"/>
      <c r="F28" s="112"/>
      <c r="G28" s="112"/>
      <c r="H28" s="112"/>
      <c r="I28" s="113"/>
      <c r="J28" s="114"/>
    </row>
    <row r="29" spans="1:23" ht="18" customHeight="1">
      <c r="A29" s="188"/>
      <c r="B29" s="110" t="s">
        <v>80</v>
      </c>
      <c r="C29" s="111"/>
      <c r="D29" s="111"/>
      <c r="E29" s="112"/>
      <c r="F29" s="112"/>
      <c r="G29" s="112"/>
      <c r="H29" s="112"/>
      <c r="I29" s="113"/>
      <c r="J29" s="114"/>
    </row>
    <row r="30" spans="1:23" ht="18" customHeight="1">
      <c r="A30" s="188"/>
      <c r="B30" s="110"/>
      <c r="C30" s="111"/>
      <c r="D30" s="111"/>
      <c r="E30" s="112"/>
      <c r="F30" s="112"/>
      <c r="G30" s="112"/>
      <c r="H30" s="112"/>
      <c r="I30" s="113"/>
      <c r="J30" s="114"/>
    </row>
    <row r="31" spans="1:23" ht="15.6" customHeight="1">
      <c r="A31" s="188"/>
      <c r="B31" s="110" t="s">
        <v>81</v>
      </c>
      <c r="C31" s="111"/>
      <c r="D31" s="111"/>
      <c r="E31" s="112"/>
      <c r="F31" s="112"/>
      <c r="G31" s="112"/>
      <c r="H31" s="112"/>
      <c r="I31" s="113"/>
      <c r="J31" s="114"/>
    </row>
    <row r="32" spans="1:23" ht="15.6" customHeight="1">
      <c r="B32" s="115" t="s">
        <v>82</v>
      </c>
      <c r="C32" s="113"/>
      <c r="D32" s="113"/>
      <c r="E32" s="113"/>
      <c r="F32" s="113"/>
      <c r="G32" s="113"/>
      <c r="H32" s="113"/>
      <c r="I32" s="113"/>
      <c r="J32" s="114"/>
    </row>
    <row r="33" spans="2:10" ht="15.6" customHeight="1">
      <c r="B33" s="110"/>
      <c r="C33" s="116"/>
      <c r="D33" s="116"/>
      <c r="E33" s="113"/>
      <c r="F33" s="113"/>
      <c r="G33" s="113"/>
      <c r="H33" s="113"/>
      <c r="I33" s="113"/>
      <c r="J33" s="114"/>
    </row>
    <row r="34" spans="2:10" ht="15.6" customHeight="1">
      <c r="B34" s="110" t="s">
        <v>83</v>
      </c>
      <c r="C34" s="111"/>
      <c r="D34" s="111"/>
      <c r="E34" s="112"/>
      <c r="F34" s="113"/>
      <c r="G34" s="113"/>
      <c r="H34" s="113"/>
      <c r="I34" s="113"/>
      <c r="J34" s="114"/>
    </row>
    <row r="35" spans="2:10" ht="15.6" customHeight="1">
      <c r="B35" s="117" t="s">
        <v>84</v>
      </c>
      <c r="C35" s="118"/>
      <c r="D35" s="118"/>
      <c r="E35" s="118"/>
      <c r="F35" s="113"/>
      <c r="G35" s="113"/>
      <c r="H35" s="113"/>
      <c r="I35" s="113"/>
      <c r="J35" s="114"/>
    </row>
    <row r="36" spans="2:10" ht="15.6" customHeight="1">
      <c r="B36" s="110"/>
      <c r="C36" s="116"/>
      <c r="D36" s="116"/>
      <c r="E36" s="113"/>
      <c r="F36" s="113"/>
      <c r="G36" s="113"/>
      <c r="H36" s="113"/>
      <c r="I36" s="113"/>
      <c r="J36" s="114"/>
    </row>
    <row r="37" spans="2:10" ht="15.6" customHeight="1">
      <c r="B37" s="119" t="s">
        <v>85</v>
      </c>
      <c r="C37" s="120"/>
      <c r="D37" s="120"/>
      <c r="E37" s="120"/>
      <c r="F37" s="120"/>
      <c r="G37" s="120"/>
      <c r="H37" s="120"/>
      <c r="I37" s="113"/>
      <c r="J37" s="114"/>
    </row>
    <row r="38" spans="2:10" ht="19.5">
      <c r="B38" s="115" t="s">
        <v>86</v>
      </c>
      <c r="C38" s="121"/>
      <c r="D38" s="121"/>
      <c r="E38" s="120"/>
      <c r="F38" s="120"/>
      <c r="G38" s="120"/>
      <c r="H38" s="120"/>
      <c r="I38" s="113"/>
      <c r="J38" s="114"/>
    </row>
    <row r="39" spans="2:10" ht="19.5">
      <c r="B39" s="115" t="s">
        <v>87</v>
      </c>
      <c r="C39" s="121"/>
      <c r="D39" s="121"/>
      <c r="E39" s="122"/>
      <c r="F39" s="120"/>
      <c r="G39" s="120"/>
      <c r="H39" s="120"/>
      <c r="I39" s="113"/>
      <c r="J39" s="114"/>
    </row>
    <row r="40" spans="2:10" ht="19.5">
      <c r="B40" s="115" t="s">
        <v>88</v>
      </c>
      <c r="C40" s="121"/>
      <c r="D40" s="121"/>
      <c r="E40" s="120"/>
      <c r="F40" s="120"/>
      <c r="G40" s="120"/>
      <c r="H40" s="120"/>
      <c r="I40" s="113"/>
      <c r="J40" s="114"/>
    </row>
    <row r="41" spans="2:10" ht="19.5">
      <c r="B41" s="115" t="s">
        <v>89</v>
      </c>
      <c r="C41" s="121"/>
      <c r="D41" s="121"/>
      <c r="E41" s="120"/>
      <c r="F41" s="120"/>
      <c r="G41" s="120"/>
      <c r="H41" s="120"/>
      <c r="I41" s="113"/>
      <c r="J41" s="114"/>
    </row>
    <row r="42" spans="2:10" ht="19.5">
      <c r="B42" s="123"/>
      <c r="C42" s="120"/>
      <c r="D42" s="120"/>
      <c r="E42" s="120"/>
      <c r="F42" s="120"/>
      <c r="G42" s="120"/>
      <c r="H42" s="120"/>
      <c r="I42" s="113"/>
      <c r="J42" s="114"/>
    </row>
    <row r="43" spans="2:10" ht="19.5">
      <c r="B43" s="119" t="s">
        <v>90</v>
      </c>
      <c r="C43" s="120"/>
      <c r="D43" s="120"/>
      <c r="E43" s="120"/>
      <c r="F43" s="120"/>
      <c r="G43" s="120"/>
      <c r="H43" s="120"/>
      <c r="I43" s="113"/>
      <c r="J43" s="114"/>
    </row>
    <row r="44" spans="2:10" ht="19.5">
      <c r="B44" s="123" t="s">
        <v>91</v>
      </c>
      <c r="C44" s="120"/>
      <c r="D44" s="120"/>
      <c r="E44" s="120"/>
      <c r="F44" s="120"/>
      <c r="G44" s="120"/>
      <c r="H44" s="120"/>
      <c r="I44" s="113"/>
      <c r="J44" s="114"/>
    </row>
    <row r="45" spans="2:10" ht="19.5">
      <c r="B45" s="124" t="s">
        <v>92</v>
      </c>
      <c r="C45" s="120"/>
      <c r="D45" s="120"/>
      <c r="E45" s="120"/>
      <c r="F45" s="120"/>
      <c r="G45" s="120"/>
      <c r="H45" s="120"/>
      <c r="I45" s="113"/>
      <c r="J45" s="114"/>
    </row>
    <row r="46" spans="2:10" ht="19.5">
      <c r="B46" s="115" t="s">
        <v>93</v>
      </c>
      <c r="C46" s="121"/>
      <c r="D46" s="121"/>
      <c r="E46" s="120"/>
      <c r="F46" s="120"/>
      <c r="G46" s="120"/>
      <c r="H46" s="120"/>
      <c r="I46" s="113"/>
      <c r="J46" s="114"/>
    </row>
    <row r="47" spans="2:10" ht="5.25" customHeight="1">
      <c r="B47" s="125"/>
      <c r="C47" s="126"/>
      <c r="D47" s="126"/>
      <c r="E47" s="126"/>
      <c r="F47" s="126"/>
      <c r="G47" s="126"/>
      <c r="H47" s="126"/>
      <c r="I47" s="127"/>
      <c r="J47" s="128"/>
    </row>
  </sheetData>
  <sheetProtection algorithmName="SHA-512" hashValue="O0MlxwPLwP81HZJOtvhCLzGu/v8OhYTnss8QZYfOLuYwCE0kUvgjdNwKyu2cjE5rKwuuIh70ND9mm2i9aGsPHg==" saltValue="FctayBw3WmgnACORUbcBEQ==" spinCount="100000" sheet="1" objects="1" scenarios="1"/>
  <mergeCells count="21">
    <mergeCell ref="O9:P9"/>
    <mergeCell ref="O19:W20"/>
    <mergeCell ref="O1:R2"/>
    <mergeCell ref="S1:T2"/>
    <mergeCell ref="U1:U2"/>
    <mergeCell ref="V1:V2"/>
    <mergeCell ref="W1:W2"/>
    <mergeCell ref="A1:A31"/>
    <mergeCell ref="B1:E1"/>
    <mergeCell ref="G3:H3"/>
    <mergeCell ref="G4:H4"/>
    <mergeCell ref="B10:F10"/>
    <mergeCell ref="B20:C20"/>
    <mergeCell ref="G10:J10"/>
    <mergeCell ref="I3:J3"/>
    <mergeCell ref="I4:J4"/>
    <mergeCell ref="C2:E2"/>
    <mergeCell ref="G2:H2"/>
    <mergeCell ref="I2:J2"/>
    <mergeCell ref="G6:J6"/>
    <mergeCell ref="G7:H7"/>
  </mergeCells>
  <conditionalFormatting sqref="B10:B11">
    <cfRule type="cellIs" dxfId="7" priority="1" operator="lessThan">
      <formula>0</formula>
    </cfRule>
  </conditionalFormatting>
  <conditionalFormatting sqref="F9">
    <cfRule type="cellIs" dxfId="6" priority="5" operator="lessThan">
      <formula>0</formula>
    </cfRule>
  </conditionalFormatting>
  <conditionalFormatting sqref="I2:I4">
    <cfRule type="cellIs" dxfId="5" priority="2" operator="lessThan">
      <formula>0</formula>
    </cfRule>
  </conditionalFormatting>
  <conditionalFormatting sqref="O9">
    <cfRule type="cellIs" dxfId="4" priority="8" operator="lessThan">
      <formula>0</formula>
    </cfRule>
  </conditionalFormatting>
  <conditionalFormatting sqref="O10:P10">
    <cfRule type="cellIs" dxfId="3" priority="7" operator="lessThan">
      <formula>0</formula>
    </cfRule>
  </conditionalFormatting>
  <conditionalFormatting sqref="Q7:R7">
    <cfRule type="cellIs" dxfId="2" priority="6" operator="lessThan">
      <formula>0</formula>
    </cfRule>
  </conditionalFormatting>
  <conditionalFormatting sqref="S4:S16">
    <cfRule type="cellIs" dxfId="1" priority="3" operator="equal">
      <formula>$B$23</formula>
    </cfRule>
    <cfRule type="cellIs" dxfId="0" priority="4" operator="equal">
      <formula>$B$23</formula>
    </cfRule>
  </conditionalFormatting>
  <dataValidations count="3">
    <dataValidation type="list" allowBlank="1" showInputMessage="1" showErrorMessage="1" sqref="B21" xr:uid="{AC367AD2-183B-445B-8BD0-1B4CC8DF53E3}">
      <formula1>$S$4:$S$16</formula1>
    </dataValidation>
    <dataValidation type="list" allowBlank="1" showInputMessage="1" showErrorMessage="1" sqref="C19" xr:uid="{0618E140-6DC2-4F3B-B86A-3612720841C0}">
      <formula1>"0,1"</formula1>
    </dataValidation>
    <dataValidation type="list" allowBlank="1" showInputMessage="1" showErrorMessage="1" sqref="E14" xr:uid="{96D78B37-4BE3-4F1B-8FC8-9BA246B8A0B9}">
      <formula1>$S$23:$S$24</formula1>
    </dataValidation>
  </dataValidations>
  <hyperlinks>
    <hyperlink ref="B32" r:id="rId1" location="karte" xr:uid="{75522708-79AC-49BC-B298-6A483D04073E}"/>
    <hyperlink ref="B38" r:id="rId2" display="https://neoom.com/loesungen-eeg" xr:uid="{B6E6407B-539F-48C3-9D1B-E2AEB2DD2ADC}"/>
    <hyperlink ref="B39" r:id="rId3" display="https://wissen.neoom.com/stromlieferung-und-verteilung" xr:uid="{F46DEBCF-9D8B-44F6-AB70-034077C13787}"/>
    <hyperlink ref="B40" r:id="rId4" display="https://wissen.neoom.com/schritt-fuer-schritt-anleitung-kluub" xr:uid="{92EFB9EC-A56C-4D4E-82BE-DF6F5EDE1987}"/>
    <hyperlink ref="B41" r:id="rId5" display="https://wissen.neoom.com/erklaerung-des-tarifblattes" xr:uid="{697B2E6B-9B9F-42DD-AEBB-6B87B4EAC308}"/>
    <hyperlink ref="B46" r:id="rId6" xr:uid="{8B7091BB-B36F-4DB0-A4E1-9FA333F57255}"/>
    <hyperlink ref="B27" r:id="rId7" xr:uid="{8660F9D6-268F-4F16-AC64-013F5410550F}"/>
    <hyperlink ref="B35" r:id="rId8" xr:uid="{EC702866-7313-43DA-AC5E-6BF98EF8C1C8}"/>
    <hyperlink ref="B34:E34" r:id="rId9" display="https://www.youtube.com/playlist?list=PL3qdefEcGLAmZjl1VvCzxRULtSCNv9lJ4" xr:uid="{54D25985-BC76-4F9E-AE76-D20542088F88}"/>
    <hyperlink ref="B10:F10" r:id="rId10" display="Video Anleitung Bedienung Kalkulator" xr:uid="{ABE5ABEE-6539-466D-8128-7F26BBE09ABE}"/>
  </hyperlinks>
  <pageMargins left="0.7" right="0.7" top="0.78740157499999996" bottom="0.78740157499999996" header="0.3" footer="0.3"/>
  <pageSetup paperSize="9" orientation="portrait" horizontalDpi="4294967293" verticalDpi="4294967293" r:id="rId11"/>
  <drawing r:id="rId12"/>
  <legacyDrawing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0e6e6b-f86b-488d-8017-ba40a91247ec">
      <Terms xmlns="http://schemas.microsoft.com/office/infopath/2007/PartnerControls"/>
    </lcf76f155ced4ddcb4097134ff3c332f>
    <_Flow_SignoffStatus xmlns="3b0e6e6b-f86b-488d-8017-ba40a91247ec" xsi:nil="true"/>
    <TaxCatchAll xmlns="c34c2743-258f-44a3-8d49-84205cb5a5c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B78947F274584DAEA43C7ADA6E7636" ma:contentTypeVersion="20" ma:contentTypeDescription="Ein neues Dokument erstellen." ma:contentTypeScope="" ma:versionID="a9cf608af2cc6572df126deb851e66a6">
  <xsd:schema xmlns:xsd="http://www.w3.org/2001/XMLSchema" xmlns:xs="http://www.w3.org/2001/XMLSchema" xmlns:p="http://schemas.microsoft.com/office/2006/metadata/properties" xmlns:ns2="c34c2743-258f-44a3-8d49-84205cb5a5cb" xmlns:ns3="3b0e6e6b-f86b-488d-8017-ba40a91247ec" targetNamespace="http://schemas.microsoft.com/office/2006/metadata/properties" ma:root="true" ma:fieldsID="fbd77980e825bbd0632e523eaf2a1e9f" ns2:_="" ns3:_="">
    <xsd:import namespace="c34c2743-258f-44a3-8d49-84205cb5a5cb"/>
    <xsd:import namespace="3b0e6e6b-f86b-488d-8017-ba40a91247e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c2743-258f-44a3-8d49-84205cb5a5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description="" ma:hidden="true" ma:list="{bddddda4-c1aa-450a-ae22-b4823b615a95}" ma:internalName="TaxCatchAll" ma:showField="CatchAllData" ma:web="c34c2743-258f-44a3-8d49-84205cb5a5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e6e6b-f86b-488d-8017-ba40a91247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1e72187a-74fa-472b-8043-615bde5e9b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978D9A-37B3-4E6F-A1C3-59CB7861DFCB}"/>
</file>

<file path=customXml/itemProps2.xml><?xml version="1.0" encoding="utf-8"?>
<ds:datastoreItem xmlns:ds="http://schemas.openxmlformats.org/officeDocument/2006/customXml" ds:itemID="{E97291D9-8EDE-4398-B43F-19DB6DBB13B9}"/>
</file>

<file path=customXml/itemProps3.xml><?xml version="1.0" encoding="utf-8"?>
<ds:datastoreItem xmlns:ds="http://schemas.openxmlformats.org/officeDocument/2006/customXml" ds:itemID="{60ABAC1B-A244-44D6-888C-1FBC8B02D1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Markus Lafer</dc:creator>
  <cp:keywords/>
  <dc:description/>
  <cp:lastModifiedBy/>
  <cp:revision/>
  <dcterms:created xsi:type="dcterms:W3CDTF">2023-05-18T03:21:04Z</dcterms:created>
  <dcterms:modified xsi:type="dcterms:W3CDTF">2026-01-20T07:52:18Z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0x01010096B78947F274584DAEA43C7ADA6E7636</vt:lpwstr>
  </property>
  <property fmtid="{D5CDD505-2E9C-101B-9397-08002B2CF9AE}" pid="3" name="MediaServiceImageTags">
    <vt:lpwstr/>
  </property>
</Properties>
</file>