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metec.sharepoint.com/sites/neoom/Daten/08_Produktmanagement/07_neoom APP/KLUUB/2. Kommunikation - Marketing/7. Kalkulatoren/"/>
    </mc:Choice>
  </mc:AlternateContent>
  <xr:revisionPtr revIDLastSave="41" documentId="14_{5CF5D352-31F4-4F9C-9168-8DFE7A00B347}" xr6:coauthVersionLast="47" xr6:coauthVersionMax="47" xr10:uidLastSave="{BB5FA1D9-16B0-4953-8489-D792F2805518}"/>
  <bookViews>
    <workbookView xWindow="15855" yWindow="-19950" windowWidth="28560" windowHeight="18840" activeTab="1" xr2:uid="{147EB03E-3014-452D-A1FA-0C13C03D1A68}"/>
  </bookViews>
  <sheets>
    <sheet name="Kompakt" sheetId="5" r:id="rId1"/>
    <sheet name="Detail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4" l="1"/>
  <c r="M8" i="5"/>
  <c r="N5" i="5"/>
  <c r="E5" i="5"/>
  <c r="O4" i="5" s="1"/>
  <c r="N4" i="5"/>
  <c r="E4" i="5"/>
  <c r="N6" i="4"/>
  <c r="N5" i="4"/>
  <c r="E6" i="4"/>
  <c r="O5" i="4" s="1"/>
  <c r="E5" i="4"/>
  <c r="E6" i="5" l="1"/>
  <c r="O15" i="5" s="1"/>
  <c r="N7" i="4"/>
  <c r="N6" i="5"/>
  <c r="N7" i="5" s="1"/>
  <c r="I4" i="5" s="1"/>
  <c r="M4" i="5"/>
  <c r="L4" i="5"/>
  <c r="E7" i="4"/>
  <c r="O15" i="4" s="1"/>
  <c r="M5" i="4"/>
  <c r="L5" i="4"/>
  <c r="O13" i="5" l="1"/>
  <c r="O16" i="5" s="1"/>
  <c r="M7" i="5" s="1"/>
  <c r="O14" i="5"/>
  <c r="O6" i="4"/>
  <c r="O7" i="4" s="1"/>
  <c r="O5" i="5"/>
  <c r="O6" i="5" s="1"/>
  <c r="N8" i="4"/>
  <c r="I5" i="4" s="1"/>
  <c r="O14" i="4"/>
  <c r="O16" i="4"/>
  <c r="O7" i="5" l="1"/>
  <c r="I5" i="5" s="1"/>
  <c r="I6" i="5" s="1"/>
  <c r="O17" i="4"/>
  <c r="M8" i="4" s="1"/>
  <c r="O8" i="4" s="1"/>
  <c r="I6" i="4" s="1"/>
  <c r="O9" i="5" l="1"/>
  <c r="O10" i="4"/>
  <c r="I7" i="4" l="1"/>
</calcChain>
</file>

<file path=xl/sharedStrings.xml><?xml version="1.0" encoding="utf-8"?>
<sst xmlns="http://schemas.openxmlformats.org/spreadsheetml/2006/main" count="106" uniqueCount="48">
  <si>
    <t>kWh</t>
  </si>
  <si>
    <t>%</t>
  </si>
  <si>
    <t>Cent/kWh</t>
  </si>
  <si>
    <t>€/Jahr</t>
  </si>
  <si>
    <t>Kosten</t>
  </si>
  <si>
    <t>Bezug vom Netz</t>
  </si>
  <si>
    <t>Erlöse PV  (Brutto)</t>
  </si>
  <si>
    <t>Tarife und Netz</t>
  </si>
  <si>
    <t xml:space="preserve">Anleitung: </t>
  </si>
  <si>
    <t>EINGABE-FELD</t>
  </si>
  <si>
    <t>Einspeisetarif z.B. ÖMAG</t>
  </si>
  <si>
    <t>Servicebeitrag je kWh (Summe aus Einspeisung und Bezug):</t>
  </si>
  <si>
    <t xml:space="preserve">Von </t>
  </si>
  <si>
    <t>Bis</t>
  </si>
  <si>
    <t xml:space="preserve">SUMME: </t>
  </si>
  <si>
    <t>Betriebskosten / Quartal</t>
  </si>
  <si>
    <t>ab Teilnehmer</t>
  </si>
  <si>
    <t>€/Quartal</t>
  </si>
  <si>
    <r>
      <t>Servicebeitrag</t>
    </r>
    <r>
      <rPr>
        <sz val="9"/>
        <color theme="1"/>
        <rFont val="Titillium Web"/>
      </rPr>
      <t xml:space="preserve"> (Jahr)</t>
    </r>
  </si>
  <si>
    <r>
      <t xml:space="preserve">Betriebskosten </t>
    </r>
    <r>
      <rPr>
        <sz val="9"/>
        <color theme="1"/>
        <rFont val="Titillium Web"/>
      </rPr>
      <t>(Jahr)</t>
    </r>
  </si>
  <si>
    <t>Netto</t>
  </si>
  <si>
    <t>Erlöse für PV
Std-Einspeiser
Anteil</t>
  </si>
  <si>
    <t>Ersparnis/Jahr                               ca.:</t>
  </si>
  <si>
    <t>KLUUB BEG -Tarif</t>
  </si>
  <si>
    <t>Arbeitspreis (netto) Std-EVU Vertrag</t>
  </si>
  <si>
    <t>Überschuss PV-Anlage(n)</t>
  </si>
  <si>
    <t>neoom KLUUB BEG-Kalkulator</t>
  </si>
  <si>
    <t>BEG-Anteil</t>
  </si>
  <si>
    <t>kWh
in/aus BEG</t>
  </si>
  <si>
    <t xml:space="preserve">* die genaue Kostenersparnis ist abhängig vom Energie-Anteil aus/in BEG; </t>
  </si>
  <si>
    <t>Erlöse für PV
BEG-Anteil</t>
  </si>
  <si>
    <t>Stromkosten ohne BEG</t>
  </si>
  <si>
    <t>Stromkosten mit BEG</t>
  </si>
  <si>
    <t>Summe BEG-Anteil</t>
  </si>
  <si>
    <t>Stromkosten für
Std-Bezugstarif</t>
  </si>
  <si>
    <t>Stromkosten für
BEG-Mitglied</t>
  </si>
  <si>
    <t>Stromkosten (Brutto)
ohne Netzgebühren</t>
  </si>
  <si>
    <t>€</t>
  </si>
  <si>
    <t>abzüglich Servicegebühren</t>
  </si>
  <si>
    <t>Gesamtkosten, Brutto</t>
  </si>
  <si>
    <t>BEG-Ersparnis</t>
  </si>
  <si>
    <r>
      <t xml:space="preserve">neoom KLUUB </t>
    </r>
    <r>
      <rPr>
        <b/>
        <sz val="18"/>
        <color rgb="FFFF0000"/>
        <rFont val="Titillium Web"/>
      </rPr>
      <t>BEG</t>
    </r>
    <r>
      <rPr>
        <b/>
        <sz val="18"/>
        <color rgb="FF3C3C3C"/>
        <rFont val="Titillium Web"/>
      </rPr>
      <t>-Kalkulator</t>
    </r>
  </si>
  <si>
    <t>Für Berechnung in rot umrandete Felder eigene Daten eingeben!
  1) Einspeise/Bezugs-Mengen anpassen
  2) Preise für Bezug und Einspeisung anpassen
  3) Zahl eigener Standorte einstellen
  4) BEG-Anteil [%] am Strombezug/Einspeisung definieren:
         PV-Einspeisen typ. 30-70%
         Bezug: ohne Batteriesysteme typ. 20-40 %</t>
  </si>
  <si>
    <t>Eigene Standorte</t>
  </si>
  <si>
    <t>BEG-Teilnehmer insgesamt (&gt;10)</t>
  </si>
  <si>
    <t>Standort</t>
  </si>
  <si>
    <t>Teilnehmer-Standorte</t>
  </si>
  <si>
    <t xml:space="preserve">Rev.2  4_2024;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</si>
</sst>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&quot;€&quot;\ * #,##0.000_-;\-&quot;€&quot;\ * #,##0.000_-;_-&quot;€&quot;\ * &quot;-&quot;??_-;_-@_-"/>
    <numFmt numFmtId="166" formatCode="0.0"/>
    <numFmt numFmtId="167" formatCode="_-&quot;€&quot;\ * #,##0.0_-;\-&quot;€&quot;\ * #,##0.0_-;_-&quot;€&quot;\ * &quot;-&quot;??_-;_-@_-"/>
    <numFmt numFmtId="168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212529"/>
      <name val="Titillium Web"/>
    </font>
    <font>
      <sz val="9"/>
      <color rgb="FF3C3C3C"/>
      <name val="Titillium Web"/>
    </font>
    <font>
      <sz val="9"/>
      <color theme="1"/>
      <name val="Titillium Web"/>
    </font>
    <font>
      <b/>
      <sz val="9"/>
      <color rgb="FF3C3C3C"/>
      <name val="Titillium Web"/>
    </font>
    <font>
      <b/>
      <sz val="9"/>
      <color theme="1"/>
      <name val="Titillium Web"/>
    </font>
    <font>
      <b/>
      <sz val="9"/>
      <color rgb="FFFF0000"/>
      <name val="Titillium Web"/>
    </font>
    <font>
      <b/>
      <sz val="9"/>
      <color rgb="FF00B050"/>
      <name val="Titillium Web"/>
    </font>
    <font>
      <sz val="9"/>
      <color rgb="FFEB5032"/>
      <name val="Titillium Web"/>
    </font>
    <font>
      <sz val="9"/>
      <color rgb="FFFF0000"/>
      <name val="Titillium Web"/>
    </font>
    <font>
      <sz val="9"/>
      <color rgb="FF00B050"/>
      <name val="Titillium Web"/>
    </font>
    <font>
      <b/>
      <sz val="9"/>
      <color theme="4" tint="0.39997558519241921"/>
      <name val="Titillium Web"/>
    </font>
    <font>
      <b/>
      <sz val="18"/>
      <color rgb="FF3C3C3C"/>
      <name val="Titillium Web"/>
    </font>
    <font>
      <b/>
      <sz val="12"/>
      <color rgb="FF00B050"/>
      <name val="Titillium Web"/>
    </font>
    <font>
      <b/>
      <sz val="14"/>
      <color rgb="FFFF0000"/>
      <name val="Titillium Web"/>
    </font>
    <font>
      <b/>
      <sz val="14"/>
      <color rgb="FF00B050"/>
      <name val="Titillium Web"/>
    </font>
    <font>
      <b/>
      <sz val="18"/>
      <color rgb="FFFF0000"/>
      <name val="Titillium Web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FEA"/>
        <bgColor indexed="64"/>
      </patternFill>
    </fill>
    <fill>
      <patternFill patternType="solid">
        <fgColor rgb="FFECF3DE"/>
        <bgColor indexed="64"/>
      </patternFill>
    </fill>
  </fills>
  <borders count="97">
    <border>
      <left/>
      <right/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rgb="FF3C3C3C"/>
      </right>
      <top style="medium">
        <color rgb="FF3C3C3C"/>
      </top>
      <bottom/>
      <diagonal/>
    </border>
    <border>
      <left/>
      <right style="medium">
        <color rgb="FF3C3C3C"/>
      </right>
      <top/>
      <bottom/>
      <diagonal/>
    </border>
    <border>
      <left/>
      <right style="medium">
        <color rgb="FF3C3C3C"/>
      </right>
      <top/>
      <bottom style="medium">
        <color rgb="FF3C3C3C"/>
      </bottom>
      <diagonal/>
    </border>
    <border>
      <left/>
      <right/>
      <top style="medium">
        <color rgb="FF3C3C3C"/>
      </top>
      <bottom/>
      <diagonal/>
    </border>
    <border>
      <left style="medium">
        <color rgb="FF3C3C3C"/>
      </left>
      <right style="medium">
        <color rgb="FF3C3C3C"/>
      </right>
      <top/>
      <bottom/>
      <diagonal/>
    </border>
    <border>
      <left/>
      <right style="medium">
        <color rgb="FF3C3C3C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3C3C3C"/>
      </top>
      <bottom/>
      <diagonal/>
    </border>
    <border>
      <left style="medium">
        <color rgb="FF3C3C3C"/>
      </left>
      <right/>
      <top style="thin">
        <color rgb="FF3C3C3C"/>
      </top>
      <bottom style="medium">
        <color rgb="FF3C3C3C"/>
      </bottom>
      <diagonal/>
    </border>
    <border>
      <left/>
      <right/>
      <top style="thin">
        <color rgb="FF3C3C3C"/>
      </top>
      <bottom style="medium">
        <color rgb="FF3C3C3C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medium">
        <color rgb="FFEB5032"/>
      </top>
      <bottom/>
      <diagonal/>
    </border>
    <border>
      <left style="medium">
        <color rgb="FFEB5032"/>
      </left>
      <right/>
      <top style="medium">
        <color rgb="FFEB5032"/>
      </top>
      <bottom style="medium">
        <color rgb="FFEB5032"/>
      </bottom>
      <diagonal/>
    </border>
    <border>
      <left style="medium">
        <color rgb="FFEB5032"/>
      </left>
      <right style="medium">
        <color rgb="FFEB5032"/>
      </right>
      <top style="medium">
        <color rgb="FFEB5032"/>
      </top>
      <bottom style="medium">
        <color rgb="FFEB5032"/>
      </bottom>
      <diagonal/>
    </border>
    <border>
      <left/>
      <right style="medium">
        <color rgb="FFEB5032"/>
      </right>
      <top/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medium">
        <color rgb="FFEB5032"/>
      </left>
      <right style="medium">
        <color rgb="FFEB5032"/>
      </right>
      <top style="medium">
        <color rgb="FFEB5032"/>
      </top>
      <bottom/>
      <diagonal/>
    </border>
    <border>
      <left style="medium">
        <color rgb="FF3C3C3C"/>
      </left>
      <right style="thin">
        <color rgb="FF3C3C3C"/>
      </right>
      <top style="thin">
        <color rgb="FF3C3C3C"/>
      </top>
      <bottom style="medium">
        <color rgb="FFEB5032"/>
      </bottom>
      <diagonal/>
    </border>
    <border>
      <left style="medium">
        <color rgb="FF3C3C3C"/>
      </left>
      <right/>
      <top style="medium">
        <color rgb="FF3C3C3C"/>
      </top>
      <bottom/>
      <diagonal/>
    </border>
    <border>
      <left style="medium">
        <color rgb="FF3C3C3C"/>
      </left>
      <right/>
      <top style="medium">
        <color rgb="FF3C3C3C"/>
      </top>
      <bottom style="thin">
        <color rgb="FF3C3C3C"/>
      </bottom>
      <diagonal/>
    </border>
    <border>
      <left/>
      <right style="medium">
        <color rgb="FF3C3C3C"/>
      </right>
      <top style="medium">
        <color rgb="FF3C3C3C"/>
      </top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/>
      <bottom style="medium">
        <color rgb="FF3C3C3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EB5032"/>
      </bottom>
      <diagonal/>
    </border>
    <border>
      <left style="medium">
        <color rgb="FFFF0000"/>
      </left>
      <right style="medium">
        <color rgb="FFFF0000"/>
      </right>
      <top style="medium">
        <color rgb="FFEB5032"/>
      </top>
      <bottom style="medium">
        <color rgb="FFFF0000"/>
      </bottom>
      <diagonal/>
    </border>
    <border>
      <left style="medium">
        <color rgb="FF3C3C3C"/>
      </left>
      <right style="thin">
        <color theme="1"/>
      </right>
      <top/>
      <bottom style="thin">
        <color rgb="FF3C3C3C"/>
      </bottom>
      <diagonal/>
    </border>
    <border>
      <left/>
      <right style="medium">
        <color rgb="FF3C3C3C"/>
      </right>
      <top style="thin">
        <color rgb="FF3C3C3C"/>
      </top>
      <bottom/>
      <diagonal/>
    </border>
    <border>
      <left style="medium">
        <color rgb="FFEB5032"/>
      </left>
      <right style="medium">
        <color rgb="FF3C3C3C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rgb="FF3C3C3C"/>
      </top>
      <bottom/>
      <diagonal/>
    </border>
    <border>
      <left style="medium">
        <color indexed="64"/>
      </left>
      <right style="medium">
        <color rgb="FF3C3C3C"/>
      </right>
      <top style="thin">
        <color rgb="FF3C3C3C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rgb="FFEB5032"/>
      </bottom>
      <diagonal/>
    </border>
    <border>
      <left/>
      <right style="medium">
        <color theme="1"/>
      </right>
      <top style="medium">
        <color theme="1"/>
      </top>
      <bottom style="medium">
        <color rgb="FFEB5032"/>
      </bottom>
      <diagonal/>
    </border>
    <border>
      <left/>
      <right style="medium">
        <color theme="1"/>
      </right>
      <top style="medium">
        <color rgb="FFEB5032"/>
      </top>
      <bottom style="medium">
        <color rgb="FFEB5032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 style="medium">
        <color rgb="FF3C3C3C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rgb="FF3C3C3C"/>
      </top>
      <bottom style="medium">
        <color theme="1"/>
      </bottom>
      <diagonal/>
    </border>
    <border>
      <left style="medium">
        <color rgb="FF3C3C3C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rgb="FF3C3C3C"/>
      </top>
      <bottom style="medium">
        <color theme="1"/>
      </bottom>
      <diagonal/>
    </border>
    <border>
      <left/>
      <right/>
      <top style="thin">
        <color rgb="FF3C3C3C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rgb="FF3C3C3C"/>
      </bottom>
      <diagonal/>
    </border>
    <border>
      <left/>
      <right style="medium">
        <color theme="1"/>
      </right>
      <top style="medium">
        <color theme="1"/>
      </top>
      <bottom style="medium">
        <color rgb="FF3C3C3C"/>
      </bottom>
      <diagonal/>
    </border>
    <border>
      <left style="medium">
        <color theme="1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thin">
        <color rgb="FF3C3C3C"/>
      </left>
      <right style="medium">
        <color theme="1"/>
      </right>
      <top style="thin">
        <color rgb="FF3C3C3C"/>
      </top>
      <bottom style="medium">
        <color rgb="FF3C3C3C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/>
      <top/>
      <bottom style="thin">
        <color rgb="FF3C3C3C"/>
      </bottom>
      <diagonal/>
    </border>
    <border>
      <left style="medium">
        <color theme="1"/>
      </left>
      <right/>
      <top style="thin">
        <color theme="1"/>
      </top>
      <bottom style="thin">
        <color rgb="FF3C3C3C"/>
      </bottom>
      <diagonal/>
    </border>
    <border>
      <left/>
      <right style="medium">
        <color theme="1"/>
      </right>
      <top style="thin">
        <color theme="1"/>
      </top>
      <bottom style="thin">
        <color rgb="FF3C3C3C"/>
      </bottom>
      <diagonal/>
    </border>
    <border>
      <left style="medium">
        <color theme="1"/>
      </left>
      <right/>
      <top style="thin">
        <color rgb="FF3C3C3C"/>
      </top>
      <bottom style="medium">
        <color theme="1"/>
      </bottom>
      <diagonal/>
    </border>
    <border>
      <left style="medium">
        <color indexed="64"/>
      </left>
      <right style="medium">
        <color rgb="FFFF0000"/>
      </right>
      <top style="thin">
        <color rgb="FF3C3C3C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FF0000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32" xfId="0" applyFont="1" applyBorder="1" applyAlignment="1">
      <alignment vertical="center" wrapText="1"/>
    </xf>
    <xf numFmtId="0" fontId="3" fillId="0" borderId="0" xfId="0" applyFont="1"/>
    <xf numFmtId="0" fontId="3" fillId="0" borderId="3" xfId="0" applyFont="1" applyBorder="1" applyAlignment="1">
      <alignment horizontal="left" vertical="center" wrapText="1" indent="1"/>
    </xf>
    <xf numFmtId="0" fontId="4" fillId="0" borderId="0" xfId="0" applyFont="1"/>
    <xf numFmtId="0" fontId="5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22" xfId="0" applyFont="1" applyBorder="1"/>
    <xf numFmtId="0" fontId="3" fillId="0" borderId="23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3" fillId="3" borderId="43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 indent="1"/>
    </xf>
    <xf numFmtId="0" fontId="3" fillId="0" borderId="34" xfId="1" applyNumberFormat="1" applyFont="1" applyFill="1" applyBorder="1" applyAlignment="1" applyProtection="1">
      <alignment horizontal="center" vertical="center"/>
      <protection locked="0"/>
    </xf>
    <xf numFmtId="164" fontId="3" fillId="0" borderId="59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44" fontId="10" fillId="0" borderId="17" xfId="0" applyNumberFormat="1" applyFont="1" applyBorder="1" applyAlignment="1">
      <alignment horizontal="center" vertical="center"/>
    </xf>
    <xf numFmtId="44" fontId="11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60" xfId="0" applyFont="1" applyBorder="1" applyAlignment="1">
      <alignment horizontal="left" vertical="center" wrapText="1" indent="1"/>
    </xf>
    <xf numFmtId="164" fontId="3" fillId="0" borderId="26" xfId="1" quotePrefix="1" applyNumberFormat="1" applyFont="1" applyFill="1" applyBorder="1" applyAlignment="1">
      <alignment horizontal="center" vertical="center"/>
    </xf>
    <xf numFmtId="164" fontId="4" fillId="0" borderId="25" xfId="1" applyNumberFormat="1" applyFont="1" applyFill="1" applyBorder="1" applyAlignment="1">
      <alignment horizontal="center" vertical="center"/>
    </xf>
    <xf numFmtId="44" fontId="11" fillId="0" borderId="14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164" fontId="3" fillId="4" borderId="61" xfId="0" applyNumberFormat="1" applyFont="1" applyFill="1" applyBorder="1" applyAlignment="1">
      <alignment horizontal="center" vertical="center"/>
    </xf>
    <xf numFmtId="164" fontId="4" fillId="0" borderId="25" xfId="1" quotePrefix="1" applyNumberFormat="1" applyFont="1" applyFill="1" applyBorder="1" applyAlignment="1">
      <alignment horizontal="center" vertical="center"/>
    </xf>
    <xf numFmtId="164" fontId="3" fillId="4" borderId="4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6" fillId="0" borderId="19" xfId="0" applyFont="1" applyBorder="1" applyAlignment="1">
      <alignment vertical="center"/>
    </xf>
    <xf numFmtId="44" fontId="12" fillId="2" borderId="15" xfId="2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24" xfId="0" applyFont="1" applyBorder="1"/>
    <xf numFmtId="0" fontId="6" fillId="0" borderId="20" xfId="0" applyFont="1" applyBorder="1" applyAlignment="1">
      <alignment vertical="center"/>
    </xf>
    <xf numFmtId="44" fontId="6" fillId="0" borderId="14" xfId="2" applyFont="1" applyBorder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right"/>
    </xf>
    <xf numFmtId="166" fontId="9" fillId="0" borderId="55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left" vertical="center" indent="1"/>
    </xf>
    <xf numFmtId="1" fontId="3" fillId="0" borderId="5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167" fontId="3" fillId="0" borderId="0" xfId="2" applyNumberFormat="1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12" xfId="0" applyFont="1" applyBorder="1" applyAlignment="1" applyProtection="1">
      <alignment vertical="top"/>
      <protection locked="0"/>
    </xf>
    <xf numFmtId="0" fontId="3" fillId="3" borderId="50" xfId="0" applyFont="1" applyFill="1" applyBorder="1" applyAlignment="1">
      <alignment horizontal="center" vertical="center"/>
    </xf>
    <xf numFmtId="44" fontId="11" fillId="0" borderId="62" xfId="0" applyNumberFormat="1" applyFont="1" applyBorder="1" applyAlignment="1">
      <alignment horizontal="center" vertical="center"/>
    </xf>
    <xf numFmtId="0" fontId="4" fillId="0" borderId="9" xfId="0" applyFont="1" applyBorder="1"/>
    <xf numFmtId="0" fontId="4" fillId="0" borderId="18" xfId="0" applyFont="1" applyBorder="1"/>
    <xf numFmtId="0" fontId="4" fillId="0" borderId="63" xfId="0" applyFont="1" applyBorder="1"/>
    <xf numFmtId="0" fontId="4" fillId="0" borderId="64" xfId="0" applyFont="1" applyBorder="1"/>
    <xf numFmtId="0" fontId="3" fillId="0" borderId="10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3" fillId="3" borderId="66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3" fontId="4" fillId="0" borderId="68" xfId="0" quotePrefix="1" applyNumberFormat="1" applyFont="1" applyBorder="1" applyAlignment="1" applyProtection="1">
      <alignment horizontal="center"/>
      <protection locked="0"/>
    </xf>
    <xf numFmtId="3" fontId="4" fillId="0" borderId="69" xfId="0" applyNumberFormat="1" applyFont="1" applyBorder="1" applyAlignment="1" applyProtection="1">
      <alignment horizontal="center"/>
      <protection locked="0"/>
    </xf>
    <xf numFmtId="0" fontId="4" fillId="0" borderId="71" xfId="0" applyFont="1" applyBorder="1" applyProtection="1">
      <protection locked="0"/>
    </xf>
    <xf numFmtId="3" fontId="4" fillId="0" borderId="72" xfId="0" quotePrefix="1" applyNumberFormat="1" applyFont="1" applyBorder="1" applyAlignment="1" applyProtection="1">
      <alignment horizontal="center"/>
      <protection locked="0"/>
    </xf>
    <xf numFmtId="3" fontId="4" fillId="0" borderId="73" xfId="0" applyNumberFormat="1" applyFont="1" applyBorder="1" applyAlignment="1" applyProtection="1">
      <alignment horizontal="center"/>
      <protection locked="0"/>
    </xf>
    <xf numFmtId="3" fontId="4" fillId="0" borderId="73" xfId="1" applyNumberFormat="1" applyFont="1" applyBorder="1" applyAlignment="1" applyProtection="1">
      <alignment horizontal="center"/>
      <protection locked="0"/>
    </xf>
    <xf numFmtId="0" fontId="4" fillId="0" borderId="74" xfId="0" applyFont="1" applyBorder="1" applyProtection="1">
      <protection locked="0"/>
    </xf>
    <xf numFmtId="0" fontId="3" fillId="3" borderId="76" xfId="0" applyFont="1" applyFill="1" applyBorder="1" applyAlignment="1">
      <alignment horizontal="center" vertical="center"/>
    </xf>
    <xf numFmtId="165" fontId="4" fillId="0" borderId="15" xfId="2" applyNumberFormat="1" applyFont="1" applyBorder="1" applyAlignment="1" applyProtection="1">
      <alignment horizontal="center"/>
      <protection locked="0"/>
    </xf>
    <xf numFmtId="165" fontId="4" fillId="0" borderId="77" xfId="2" applyNumberFormat="1" applyFont="1" applyBorder="1" applyAlignment="1" applyProtection="1">
      <alignment horizontal="center"/>
      <protection locked="0"/>
    </xf>
    <xf numFmtId="44" fontId="3" fillId="4" borderId="78" xfId="2" applyFont="1" applyFill="1" applyBorder="1" applyAlignment="1">
      <alignment horizontal="center" vertical="center"/>
    </xf>
    <xf numFmtId="44" fontId="2" fillId="0" borderId="2" xfId="2" applyFont="1" applyBorder="1" applyAlignment="1" applyProtection="1">
      <alignment vertical="center"/>
      <protection locked="0"/>
    </xf>
    <xf numFmtId="44" fontId="2" fillId="0" borderId="52" xfId="2" applyFont="1" applyBorder="1" applyAlignment="1" applyProtection="1">
      <alignment vertical="center"/>
      <protection locked="0"/>
    </xf>
    <xf numFmtId="44" fontId="3" fillId="4" borderId="79" xfId="2" applyFont="1" applyFill="1" applyBorder="1" applyAlignment="1">
      <alignment horizontal="center" vertical="center"/>
    </xf>
    <xf numFmtId="44" fontId="3" fillId="4" borderId="82" xfId="2" applyFont="1" applyFill="1" applyBorder="1" applyAlignment="1">
      <alignment horizontal="center" vertical="center"/>
    </xf>
    <xf numFmtId="44" fontId="3" fillId="4" borderId="83" xfId="2" applyFont="1" applyFill="1" applyBorder="1" applyAlignment="1">
      <alignment horizontal="center" vertical="center"/>
    </xf>
    <xf numFmtId="0" fontId="4" fillId="0" borderId="69" xfId="0" applyFont="1" applyBorder="1" applyAlignment="1" applyProtection="1">
      <alignment horizontal="center" vertical="center"/>
      <protection locked="0"/>
    </xf>
    <xf numFmtId="44" fontId="4" fillId="0" borderId="70" xfId="2" applyFont="1" applyFill="1" applyBorder="1" applyAlignment="1" applyProtection="1">
      <alignment horizontal="center" vertical="center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44" fontId="4" fillId="0" borderId="85" xfId="2" applyFont="1" applyFill="1" applyBorder="1" applyAlignment="1" applyProtection="1">
      <alignment horizontal="center" vertical="center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44" fontId="4" fillId="0" borderId="87" xfId="2" applyFont="1" applyFill="1" applyBorder="1" applyAlignment="1" applyProtection="1">
      <alignment horizontal="center" vertical="center"/>
      <protection locked="0"/>
    </xf>
    <xf numFmtId="44" fontId="15" fillId="0" borderId="62" xfId="0" applyNumberFormat="1" applyFont="1" applyBorder="1" applyAlignment="1">
      <alignment vertical="center"/>
    </xf>
    <xf numFmtId="3" fontId="3" fillId="0" borderId="34" xfId="1" applyNumberFormat="1" applyFont="1" applyFill="1" applyBorder="1" applyAlignment="1" applyProtection="1">
      <alignment horizontal="center" vertical="center"/>
      <protection locked="0"/>
    </xf>
    <xf numFmtId="3" fontId="3" fillId="0" borderId="37" xfId="1" applyNumberFormat="1" applyFont="1" applyFill="1" applyBorder="1" applyAlignment="1" applyProtection="1">
      <alignment horizontal="center" vertical="center"/>
      <protection locked="0"/>
    </xf>
    <xf numFmtId="168" fontId="3" fillId="0" borderId="59" xfId="1" applyNumberFormat="1" applyFont="1" applyFill="1" applyBorder="1" applyAlignment="1">
      <alignment vertical="center"/>
    </xf>
    <xf numFmtId="164" fontId="3" fillId="0" borderId="26" xfId="1" quotePrefix="1" applyNumberFormat="1" applyFont="1" applyFill="1" applyBorder="1" applyAlignment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left" vertical="center" wrapText="1" indent="1"/>
    </xf>
    <xf numFmtId="0" fontId="3" fillId="0" borderId="92" xfId="0" applyFont="1" applyBorder="1" applyAlignment="1">
      <alignment horizontal="left" vertical="center" wrapText="1" indent="1"/>
    </xf>
    <xf numFmtId="0" fontId="3" fillId="3" borderId="94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166" fontId="3" fillId="0" borderId="0" xfId="0" applyNumberFormat="1" applyFont="1" applyAlignment="1" applyProtection="1">
      <alignment horizontal="center" vertical="center"/>
      <protection locked="0"/>
    </xf>
    <xf numFmtId="0" fontId="3" fillId="0" borderId="95" xfId="0" applyFont="1" applyBorder="1" applyAlignment="1">
      <alignment horizontal="left" vertical="center" wrapText="1" indent="1"/>
    </xf>
    <xf numFmtId="166" fontId="9" fillId="0" borderId="96" xfId="0" applyNumberFormat="1" applyFont="1" applyBorder="1" applyAlignment="1" applyProtection="1">
      <alignment horizontal="center" vertical="center"/>
      <protection locked="0"/>
    </xf>
    <xf numFmtId="44" fontId="16" fillId="4" borderId="28" xfId="2" applyFont="1" applyFill="1" applyBorder="1" applyAlignment="1">
      <alignment horizontal="center" vertical="center"/>
    </xf>
    <xf numFmtId="44" fontId="8" fillId="4" borderId="49" xfId="2" applyFont="1" applyFill="1" applyBorder="1" applyAlignment="1">
      <alignment horizontal="center" vertical="center"/>
    </xf>
    <xf numFmtId="0" fontId="3" fillId="0" borderId="33" xfId="1" applyNumberFormat="1" applyFont="1" applyFill="1" applyBorder="1" applyAlignment="1" applyProtection="1">
      <alignment horizontal="center" vertical="center"/>
      <protection locked="0"/>
    </xf>
    <xf numFmtId="0" fontId="3" fillId="0" borderId="65" xfId="1" applyNumberFormat="1" applyFont="1" applyFill="1" applyBorder="1" applyAlignment="1" applyProtection="1">
      <alignment horizontal="center" vertical="center"/>
      <protection locked="0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44" fontId="3" fillId="4" borderId="80" xfId="2" applyFont="1" applyFill="1" applyBorder="1" applyAlignment="1">
      <alignment horizontal="center" vertical="center"/>
    </xf>
    <xf numFmtId="44" fontId="3" fillId="4" borderId="81" xfId="2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4" fontId="14" fillId="4" borderId="91" xfId="2" applyFont="1" applyFill="1" applyBorder="1" applyAlignment="1">
      <alignment horizontal="center" vertical="center"/>
    </xf>
    <xf numFmtId="44" fontId="14" fillId="4" borderId="75" xfId="2" applyFont="1" applyFill="1" applyBorder="1" applyAlignment="1">
      <alignment horizontal="center" vertical="center"/>
    </xf>
    <xf numFmtId="44" fontId="6" fillId="0" borderId="7" xfId="0" applyNumberFormat="1" applyFont="1" applyBorder="1" applyAlignment="1" applyProtection="1">
      <alignment horizontal="center" vertical="center" wrapText="1"/>
      <protection locked="0"/>
    </xf>
    <xf numFmtId="44" fontId="6" fillId="0" borderId="8" xfId="0" applyNumberFormat="1" applyFont="1" applyBorder="1" applyAlignment="1" applyProtection="1">
      <alignment horizontal="center" vertical="center"/>
      <protection locked="0"/>
    </xf>
    <xf numFmtId="44" fontId="10" fillId="0" borderId="16" xfId="0" applyNumberFormat="1" applyFont="1" applyBorder="1" applyAlignment="1">
      <alignment horizontal="center" vertical="center"/>
    </xf>
    <xf numFmtId="44" fontId="10" fillId="0" borderId="17" xfId="0" applyNumberFormat="1" applyFont="1" applyBorder="1" applyAlignment="1">
      <alignment horizontal="center" vertical="center"/>
    </xf>
    <xf numFmtId="44" fontId="6" fillId="0" borderId="0" xfId="0" applyNumberFormat="1" applyFont="1" applyAlignment="1" applyProtection="1">
      <alignment horizontal="center" vertical="center" wrapText="1"/>
      <protection locked="0"/>
    </xf>
    <xf numFmtId="44" fontId="6" fillId="0" borderId="5" xfId="0" applyNumberFormat="1" applyFont="1" applyBorder="1" applyAlignment="1" applyProtection="1">
      <alignment horizontal="center" vertical="center"/>
      <protection locked="0"/>
    </xf>
    <xf numFmtId="44" fontId="6" fillId="0" borderId="0" xfId="0" applyNumberFormat="1" applyFont="1" applyAlignment="1" applyProtection="1">
      <alignment horizontal="center" vertical="center"/>
      <protection locked="0"/>
    </xf>
    <xf numFmtId="44" fontId="3" fillId="0" borderId="0" xfId="2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30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44" fontId="9" fillId="0" borderId="89" xfId="0" applyNumberFormat="1" applyFont="1" applyBorder="1" applyAlignment="1">
      <alignment horizontal="center" vertical="center"/>
    </xf>
    <xf numFmtId="44" fontId="9" fillId="0" borderId="9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57" xfId="0" applyFont="1" applyBorder="1" applyAlignment="1">
      <alignment horizontal="left" vertical="center" indent="1"/>
    </xf>
    <xf numFmtId="0" fontId="3" fillId="0" borderId="88" xfId="0" applyFont="1" applyBorder="1" applyAlignment="1">
      <alignment horizontal="left" vertical="center" indent="1"/>
    </xf>
    <xf numFmtId="44" fontId="9" fillId="0" borderId="19" xfId="0" applyNumberFormat="1" applyFont="1" applyBorder="1" applyAlignment="1">
      <alignment horizontal="center" vertical="center"/>
    </xf>
    <xf numFmtId="44" fontId="9" fillId="0" borderId="13" xfId="0" applyNumberFormat="1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4" fillId="0" borderId="0" xfId="0" applyFont="1"/>
  </cellXfs>
  <cellStyles count="3">
    <cellStyle name="Komma" xfId="1" builtinId="3"/>
    <cellStyle name="Standard" xfId="0" builtinId="0"/>
    <cellStyle name="Währung" xfId="2" builtinId="4"/>
  </cellStyles>
  <dxfs count="18"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00B050"/>
      </font>
    </dxf>
    <dxf>
      <font>
        <color rgb="FF9C0006"/>
      </font>
    </dxf>
    <dxf>
      <font>
        <color rgb="FFFF000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00B050"/>
      </font>
    </dxf>
    <dxf>
      <font>
        <color rgb="FF9C0006"/>
      </font>
    </dxf>
    <dxf>
      <font>
        <color rgb="FFFF0000"/>
      </font>
    </dxf>
    <dxf>
      <font>
        <color rgb="FF00B050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3C3C3C"/>
      <color rgb="FFEB5032"/>
      <color rgb="FFB2B2B2"/>
      <color rgb="FFECF3DE"/>
      <color rgb="FF96C446"/>
      <color rgb="FFFFE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40273</xdr:colOff>
      <xdr:row>0</xdr:row>
      <xdr:rowOff>251114</xdr:rowOff>
    </xdr:from>
    <xdr:to>
      <xdr:col>1</xdr:col>
      <xdr:colOff>454300</xdr:colOff>
      <xdr:row>0</xdr:row>
      <xdr:rowOff>492124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E5009B-950A-4F37-B209-6A648773A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409" y="476250"/>
          <a:ext cx="414027" cy="241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49798</xdr:colOff>
      <xdr:row>1</xdr:row>
      <xdr:rowOff>4041</xdr:rowOff>
    </xdr:from>
    <xdr:to>
      <xdr:col>1</xdr:col>
      <xdr:colOff>478496</xdr:colOff>
      <xdr:row>1</xdr:row>
      <xdr:rowOff>256174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A17F523-C59C-4EAF-97DD-B945A28F4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398" y="261216"/>
          <a:ext cx="428698" cy="255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DC7C8-EC90-4398-A350-2CDB7D742B38}">
  <dimension ref="A1:U26"/>
  <sheetViews>
    <sheetView showGridLines="0" zoomScaleNormal="100" workbookViewId="0">
      <selection activeCell="C12" sqref="C12"/>
    </sheetView>
  </sheetViews>
  <sheetFormatPr baseColWidth="10" defaultColWidth="10.453125" defaultRowHeight="15" outlineLevelCol="1" x14ac:dyDescent="0.5"/>
  <cols>
    <col min="1" max="1" width="3.453125" style="4" customWidth="1"/>
    <col min="2" max="2" width="34.7265625" style="4" customWidth="1"/>
    <col min="3" max="3" width="10" style="4" bestFit="1" customWidth="1"/>
    <col min="4" max="4" width="11.7265625" style="4" bestFit="1" customWidth="1"/>
    <col min="5" max="5" width="15.26953125" style="4" bestFit="1" customWidth="1"/>
    <col min="6" max="6" width="9.453125" style="4" customWidth="1"/>
    <col min="7" max="7" width="13.26953125" style="4" bestFit="1" customWidth="1"/>
    <col min="8" max="8" width="14.7265625" style="4" bestFit="1" customWidth="1"/>
    <col min="9" max="10" width="10.1796875" style="4" customWidth="1"/>
    <col min="11" max="11" width="16.26953125" style="4" customWidth="1"/>
    <col min="12" max="12" width="16.26953125" style="4" hidden="1" customWidth="1" outlineLevel="1"/>
    <col min="13" max="13" width="16.1796875" style="4" hidden="1" customWidth="1" outlineLevel="1"/>
    <col min="14" max="14" width="17.1796875" style="4" hidden="1" customWidth="1" outlineLevel="1"/>
    <col min="15" max="15" width="21.81640625" style="4" hidden="1" customWidth="1" outlineLevel="1"/>
    <col min="16" max="16" width="12.54296875" style="4" hidden="1" customWidth="1" outlineLevel="1"/>
    <col min="17" max="17" width="9.453125" style="4" hidden="1" customWidth="1" outlineLevel="1"/>
    <col min="18" max="18" width="22" style="4" hidden="1" customWidth="1" outlineLevel="1"/>
    <col min="19" max="20" width="14.1796875" style="4" hidden="1" customWidth="1" outlineLevel="1"/>
    <col min="21" max="21" width="10.453125" style="4" collapsed="1"/>
    <col min="22" max="16384" width="10.453125" style="4"/>
  </cols>
  <sheetData>
    <row r="1" spans="1:17" ht="68.150000000000006" customHeight="1" thickBot="1" x14ac:dyDescent="1.05">
      <c r="A1" s="127"/>
      <c r="B1" s="128" t="s">
        <v>41</v>
      </c>
      <c r="C1" s="129"/>
      <c r="D1" s="129"/>
      <c r="E1" s="129"/>
      <c r="I1" s="7"/>
      <c r="J1" s="7"/>
      <c r="L1" s="89" t="s">
        <v>21</v>
      </c>
      <c r="M1" s="89" t="s">
        <v>30</v>
      </c>
      <c r="N1" s="90" t="s">
        <v>34</v>
      </c>
      <c r="O1" s="91" t="s">
        <v>35</v>
      </c>
      <c r="P1" s="126"/>
      <c r="Q1" s="126"/>
    </row>
    <row r="2" spans="1:17" ht="40" customHeight="1" thickBot="1" x14ac:dyDescent="0.55000000000000004">
      <c r="A2" s="127"/>
      <c r="B2" s="9"/>
      <c r="C2" s="139" t="s">
        <v>27</v>
      </c>
      <c r="D2" s="140"/>
      <c r="E2" s="141"/>
      <c r="I2" s="142" t="s">
        <v>36</v>
      </c>
      <c r="J2" s="143"/>
      <c r="L2" s="5"/>
      <c r="M2" s="5"/>
      <c r="N2" s="5" t="s">
        <v>20</v>
      </c>
      <c r="O2" s="5" t="s">
        <v>20</v>
      </c>
      <c r="P2" s="8"/>
      <c r="Q2" s="8"/>
    </row>
    <row r="3" spans="1:17" ht="30.5" thickBot="1" x14ac:dyDescent="0.55000000000000004">
      <c r="A3" s="127"/>
      <c r="B3" s="10"/>
      <c r="C3" s="11" t="s">
        <v>0</v>
      </c>
      <c r="D3" s="12" t="s">
        <v>1</v>
      </c>
      <c r="E3" s="13" t="s">
        <v>28</v>
      </c>
      <c r="G3" s="14"/>
      <c r="H3" s="14"/>
      <c r="I3" s="144" t="s">
        <v>37</v>
      </c>
      <c r="J3" s="145"/>
      <c r="L3" s="52" t="s">
        <v>3</v>
      </c>
      <c r="M3" s="16" t="s">
        <v>3</v>
      </c>
      <c r="N3" s="15" t="s">
        <v>3</v>
      </c>
      <c r="O3" s="15" t="s">
        <v>3</v>
      </c>
      <c r="P3" s="126"/>
      <c r="Q3" s="126"/>
    </row>
    <row r="4" spans="1:17" s="23" customFormat="1" ht="33" customHeight="1" thickBot="1" x14ac:dyDescent="0.55000000000000004">
      <c r="A4" s="127"/>
      <c r="B4" s="17" t="s">
        <v>25</v>
      </c>
      <c r="C4" s="85">
        <v>400000</v>
      </c>
      <c r="D4" s="18">
        <v>30</v>
      </c>
      <c r="E4" s="87">
        <f>C4*D4/100</f>
        <v>120000</v>
      </c>
      <c r="F4" s="20"/>
      <c r="G4" s="135" t="s">
        <v>31</v>
      </c>
      <c r="H4" s="136"/>
      <c r="I4" s="137">
        <f>N7</f>
        <v>-130560</v>
      </c>
      <c r="J4" s="138"/>
      <c r="K4" s="4"/>
      <c r="L4" s="53">
        <f>(C4-E4)*C12/100</f>
        <v>14840</v>
      </c>
      <c r="M4" s="22">
        <f>E4*C13/100</f>
        <v>12000</v>
      </c>
      <c r="N4" s="21">
        <f>C5*-C11/100</f>
        <v>-130000</v>
      </c>
      <c r="O4" s="21">
        <f>((C5-E5)*-C11/100)-(E5*C13/100)</f>
        <v>-115000</v>
      </c>
      <c r="P4" s="124" t="s">
        <v>4</v>
      </c>
      <c r="Q4" s="125"/>
    </row>
    <row r="5" spans="1:17" ht="33" customHeight="1" thickBot="1" x14ac:dyDescent="0.55000000000000004">
      <c r="A5" s="127"/>
      <c r="B5" s="24" t="s">
        <v>5</v>
      </c>
      <c r="C5" s="86">
        <v>1000000</v>
      </c>
      <c r="D5" s="18">
        <v>50</v>
      </c>
      <c r="E5" s="88">
        <f>(C5)*D5/100</f>
        <v>500000</v>
      </c>
      <c r="F5" s="26"/>
      <c r="G5" s="130" t="s">
        <v>32</v>
      </c>
      <c r="H5" s="131"/>
      <c r="I5" s="132">
        <f>O7</f>
        <v>-113544</v>
      </c>
      <c r="J5" s="133"/>
      <c r="L5" s="48"/>
      <c r="M5" s="49"/>
      <c r="N5" s="27">
        <f>C4*C12/100</f>
        <v>21200</v>
      </c>
      <c r="O5" s="27">
        <f>L4+M4</f>
        <v>26840</v>
      </c>
      <c r="P5" s="146" t="s">
        <v>6</v>
      </c>
      <c r="Q5" s="147"/>
    </row>
    <row r="6" spans="1:17" ht="22" customHeight="1" thickBot="1" x14ac:dyDescent="0.55000000000000004">
      <c r="A6" s="127"/>
      <c r="B6" s="28"/>
      <c r="C6" s="29"/>
      <c r="D6" s="1"/>
      <c r="E6" s="30">
        <f>SUM(E4:E5)</f>
        <v>620000</v>
      </c>
      <c r="F6" s="31"/>
      <c r="G6" s="148" t="s">
        <v>22</v>
      </c>
      <c r="H6" s="149"/>
      <c r="I6" s="114">
        <f>I5-I4</f>
        <v>17016</v>
      </c>
      <c r="J6" s="115"/>
      <c r="L6" s="50"/>
      <c r="M6" s="51"/>
      <c r="N6" s="21">
        <f>(N4+N5)*1.2</f>
        <v>-130560</v>
      </c>
      <c r="O6" s="21">
        <f>(O4+O5)*1.2</f>
        <v>-105792</v>
      </c>
      <c r="P6" s="116" t="s">
        <v>39</v>
      </c>
      <c r="Q6" s="117"/>
    </row>
    <row r="7" spans="1:17" ht="12" customHeight="1" thickBot="1" x14ac:dyDescent="0.55000000000000004">
      <c r="A7" s="127"/>
      <c r="B7" s="2"/>
      <c r="C7" s="2"/>
      <c r="D7" s="2"/>
      <c r="E7" s="32" t="s">
        <v>33</v>
      </c>
      <c r="F7" s="33"/>
      <c r="L7" s="34" t="s">
        <v>18</v>
      </c>
      <c r="M7" s="35">
        <f>O16</f>
        <v>7452</v>
      </c>
      <c r="N7" s="118">
        <f>N6</f>
        <v>-130560</v>
      </c>
      <c r="O7" s="118">
        <f>O6-M7-M8</f>
        <v>-113544</v>
      </c>
      <c r="P7" s="120" t="s">
        <v>38</v>
      </c>
      <c r="Q7" s="121"/>
    </row>
    <row r="8" spans="1:17" ht="20.149999999999999" customHeight="1" thickBot="1" x14ac:dyDescent="0.55000000000000004">
      <c r="A8" s="127"/>
      <c r="B8" s="36" t="s">
        <v>29</v>
      </c>
      <c r="E8" s="37"/>
      <c r="G8" s="47"/>
      <c r="H8" s="123"/>
      <c r="I8" s="123"/>
      <c r="J8" s="123"/>
      <c r="L8" s="38" t="s">
        <v>19</v>
      </c>
      <c r="M8" s="39">
        <f>VLOOKUP(C16,P13:Q18,2)*4*C17</f>
        <v>300</v>
      </c>
      <c r="N8" s="119"/>
      <c r="O8" s="119"/>
      <c r="P8" s="122"/>
      <c r="Q8" s="121"/>
    </row>
    <row r="9" spans="1:17" ht="29.15" customHeight="1" thickBot="1" x14ac:dyDescent="0.55000000000000004">
      <c r="A9" s="127"/>
      <c r="B9" s="40"/>
      <c r="C9" s="40"/>
      <c r="D9" s="40"/>
      <c r="E9" s="40"/>
      <c r="F9" s="41"/>
      <c r="G9" s="134"/>
      <c r="H9" s="134"/>
      <c r="I9" s="134"/>
      <c r="J9" s="134"/>
      <c r="L9" s="6"/>
      <c r="M9" s="6"/>
      <c r="N9" s="6"/>
      <c r="O9" s="84">
        <f>O7-N7</f>
        <v>17016</v>
      </c>
      <c r="P9" s="100" t="s">
        <v>40</v>
      </c>
      <c r="Q9" s="101"/>
    </row>
    <row r="10" spans="1:17" ht="17.149999999999999" customHeight="1" thickBot="1" x14ac:dyDescent="0.55000000000000004">
      <c r="A10" s="127"/>
      <c r="B10" s="95" t="s">
        <v>7</v>
      </c>
      <c r="C10" s="94" t="s">
        <v>2</v>
      </c>
      <c r="F10" s="54"/>
      <c r="G10" s="55"/>
      <c r="H10" s="55"/>
      <c r="I10" s="56"/>
      <c r="J10" s="57"/>
    </row>
    <row r="11" spans="1:17" ht="19.5" customHeight="1" thickBot="1" x14ac:dyDescent="0.55000000000000004">
      <c r="A11" s="127"/>
      <c r="B11" s="3" t="s">
        <v>24</v>
      </c>
      <c r="C11" s="42">
        <v>13</v>
      </c>
      <c r="F11" s="58" t="s">
        <v>8</v>
      </c>
      <c r="G11" s="59"/>
      <c r="H11" s="43"/>
      <c r="I11" s="102" t="s">
        <v>9</v>
      </c>
      <c r="J11" s="103"/>
      <c r="L11" s="104" t="s">
        <v>11</v>
      </c>
      <c r="M11" s="105"/>
      <c r="N11" s="105"/>
      <c r="O11" s="105"/>
      <c r="P11" s="106" t="s">
        <v>15</v>
      </c>
      <c r="Q11" s="107"/>
    </row>
    <row r="12" spans="1:17" ht="19.5" customHeight="1" thickBot="1" x14ac:dyDescent="0.55000000000000004">
      <c r="A12" s="127"/>
      <c r="B12" s="3" t="s">
        <v>10</v>
      </c>
      <c r="C12" s="42">
        <v>5.3</v>
      </c>
      <c r="F12" s="108" t="s">
        <v>42</v>
      </c>
      <c r="G12" s="109"/>
      <c r="H12" s="109"/>
      <c r="I12" s="109"/>
      <c r="J12" s="110"/>
      <c r="L12" s="60" t="s">
        <v>12</v>
      </c>
      <c r="M12" s="61" t="s">
        <v>13</v>
      </c>
      <c r="N12" s="69" t="s">
        <v>2</v>
      </c>
      <c r="O12" s="61" t="s">
        <v>4</v>
      </c>
      <c r="P12" s="76" t="s">
        <v>16</v>
      </c>
      <c r="Q12" s="77" t="s">
        <v>17</v>
      </c>
    </row>
    <row r="13" spans="1:17" ht="19.5" customHeight="1" thickBot="1" x14ac:dyDescent="0.55000000000000004">
      <c r="A13" s="127"/>
      <c r="B13" s="98" t="s">
        <v>23</v>
      </c>
      <c r="C13" s="99">
        <v>10</v>
      </c>
      <c r="F13" s="108"/>
      <c r="G13" s="109"/>
      <c r="H13" s="109"/>
      <c r="I13" s="109"/>
      <c r="J13" s="110"/>
      <c r="L13" s="62">
        <v>1</v>
      </c>
      <c r="M13" s="65">
        <v>500</v>
      </c>
      <c r="N13" s="70">
        <v>2.4E-2</v>
      </c>
      <c r="O13" s="73">
        <f>IF(L13&lt;=$E$6,MIN($E$6-N(M12),M13-N(M12))*N13,0)</f>
        <v>12</v>
      </c>
      <c r="P13" s="78">
        <v>10</v>
      </c>
      <c r="Q13" s="79">
        <v>7.5</v>
      </c>
    </row>
    <row r="14" spans="1:17" ht="19.5" customHeight="1" thickBot="1" x14ac:dyDescent="0.55000000000000004">
      <c r="A14" s="127"/>
      <c r="B14" s="96"/>
      <c r="C14" s="97"/>
      <c r="F14" s="108"/>
      <c r="G14" s="109"/>
      <c r="H14" s="109"/>
      <c r="I14" s="109"/>
      <c r="J14" s="110"/>
      <c r="L14" s="63">
        <v>501</v>
      </c>
      <c r="M14" s="66">
        <v>1500</v>
      </c>
      <c r="N14" s="71">
        <v>1.7999999999999999E-2</v>
      </c>
      <c r="O14" s="74">
        <f>IF(L14&lt;=$E$6,MIN($E$6-N(M13),M14-N(M13))*N14,0)</f>
        <v>18</v>
      </c>
      <c r="P14" s="78">
        <v>20</v>
      </c>
      <c r="Q14" s="79">
        <v>6.5</v>
      </c>
    </row>
    <row r="15" spans="1:17" ht="19.5" customHeight="1" thickBot="1" x14ac:dyDescent="0.55000000000000004">
      <c r="A15" s="127"/>
      <c r="B15" s="95" t="s">
        <v>46</v>
      </c>
      <c r="C15" s="94" t="s">
        <v>45</v>
      </c>
      <c r="D15" s="127"/>
      <c r="E15" s="127"/>
      <c r="F15" s="108"/>
      <c r="G15" s="109"/>
      <c r="H15" s="109"/>
      <c r="I15" s="109"/>
      <c r="J15" s="110"/>
      <c r="L15" s="63">
        <v>1501</v>
      </c>
      <c r="M15" s="67">
        <v>10000000</v>
      </c>
      <c r="N15" s="71">
        <v>1.2E-2</v>
      </c>
      <c r="O15" s="74">
        <f>IF(L15&lt;=$E$6,MIN($E$6-N(M14),M15-N(M14))*N15,0)</f>
        <v>7422</v>
      </c>
      <c r="P15" s="78">
        <v>30</v>
      </c>
      <c r="Q15" s="79">
        <v>5</v>
      </c>
    </row>
    <row r="16" spans="1:17" ht="19.5" customHeight="1" thickBot="1" x14ac:dyDescent="0.55000000000000004">
      <c r="A16" s="127"/>
      <c r="B16" s="93" t="s">
        <v>44</v>
      </c>
      <c r="C16" s="44">
        <v>100</v>
      </c>
      <c r="F16" s="108"/>
      <c r="G16" s="109"/>
      <c r="H16" s="109"/>
      <c r="I16" s="109"/>
      <c r="J16" s="110"/>
      <c r="L16" s="64"/>
      <c r="M16" s="68"/>
      <c r="N16" s="72" t="s">
        <v>14</v>
      </c>
      <c r="O16" s="75">
        <f>SUM(O13:O15)</f>
        <v>7452</v>
      </c>
      <c r="P16" s="78">
        <v>40</v>
      </c>
      <c r="Q16" s="79">
        <v>4</v>
      </c>
    </row>
    <row r="17" spans="1:17" ht="19.5" customHeight="1" thickBot="1" x14ac:dyDescent="0.55000000000000004">
      <c r="A17" s="127"/>
      <c r="B17" s="92" t="s">
        <v>43</v>
      </c>
      <c r="C17" s="44">
        <v>25</v>
      </c>
      <c r="F17" s="111"/>
      <c r="G17" s="112"/>
      <c r="H17" s="112"/>
      <c r="I17" s="112"/>
      <c r="J17" s="113"/>
      <c r="L17" s="45"/>
      <c r="M17" s="45"/>
      <c r="N17" s="45"/>
      <c r="O17" s="45"/>
      <c r="P17" s="80">
        <v>50</v>
      </c>
      <c r="Q17" s="81">
        <v>3.5</v>
      </c>
    </row>
    <row r="18" spans="1:17" ht="19.5" customHeight="1" thickBot="1" x14ac:dyDescent="0.55000000000000004">
      <c r="A18" s="127"/>
      <c r="F18" s="4" t="s">
        <v>47</v>
      </c>
      <c r="K18" s="45"/>
      <c r="N18" s="46"/>
      <c r="O18" s="45"/>
      <c r="P18" s="82">
        <v>100</v>
      </c>
      <c r="Q18" s="83">
        <v>3</v>
      </c>
    </row>
    <row r="19" spans="1:17" ht="19.5" customHeight="1" x14ac:dyDescent="0.5">
      <c r="A19" s="127"/>
    </row>
    <row r="20" spans="1:17" ht="18" customHeight="1" x14ac:dyDescent="0.5">
      <c r="A20" s="127"/>
    </row>
    <row r="21" spans="1:17" ht="18" customHeight="1" x14ac:dyDescent="0.5">
      <c r="A21" s="127"/>
      <c r="B21" s="6"/>
    </row>
    <row r="22" spans="1:17" ht="18" customHeight="1" x14ac:dyDescent="0.5">
      <c r="A22" s="127"/>
    </row>
    <row r="23" spans="1:17" ht="18" customHeight="1" x14ac:dyDescent="0.5">
      <c r="A23" s="127"/>
    </row>
    <row r="24" spans="1:17" ht="18" customHeight="1" x14ac:dyDescent="0.5">
      <c r="A24" s="127"/>
    </row>
    <row r="25" spans="1:17" ht="18" customHeight="1" x14ac:dyDescent="0.5">
      <c r="A25" s="127"/>
    </row>
    <row r="26" spans="1:17" ht="18" customHeight="1" x14ac:dyDescent="0.5">
      <c r="A26" s="127"/>
    </row>
  </sheetData>
  <sheetProtection algorithmName="SHA-512" hashValue="LOGHYnmH1JfspK+hB5USuG0zhBISF/I1KYv5Yvjn+qSU/lh5pBD8xIZLRJNgsepgeJ2/zC3TyKKAAi4eaMISEw==" saltValue="DmAPYf7j6p65jjRh6Oq1dA==" spinCount="100000" sheet="1" objects="1" scenarios="1"/>
  <mergeCells count="27">
    <mergeCell ref="P4:Q4"/>
    <mergeCell ref="P1:Q1"/>
    <mergeCell ref="P3:Q3"/>
    <mergeCell ref="A1:A26"/>
    <mergeCell ref="B1:E1"/>
    <mergeCell ref="G5:H5"/>
    <mergeCell ref="I5:J5"/>
    <mergeCell ref="G9:J9"/>
    <mergeCell ref="G4:H4"/>
    <mergeCell ref="I4:J4"/>
    <mergeCell ref="C2:E2"/>
    <mergeCell ref="I2:J2"/>
    <mergeCell ref="I3:J3"/>
    <mergeCell ref="D15:E15"/>
    <mergeCell ref="P5:Q5"/>
    <mergeCell ref="G6:H6"/>
    <mergeCell ref="I6:J6"/>
    <mergeCell ref="P6:Q6"/>
    <mergeCell ref="N7:N8"/>
    <mergeCell ref="O7:O8"/>
    <mergeCell ref="P7:Q8"/>
    <mergeCell ref="H8:J8"/>
    <mergeCell ref="P9:Q9"/>
    <mergeCell ref="I11:J11"/>
    <mergeCell ref="L11:O11"/>
    <mergeCell ref="P11:Q11"/>
    <mergeCell ref="F12:J17"/>
  </mergeCells>
  <conditionalFormatting sqref="G8:H8 P9">
    <cfRule type="cellIs" dxfId="17" priority="4" operator="lessThan">
      <formula>0</formula>
    </cfRule>
  </conditionalFormatting>
  <conditionalFormatting sqref="I6">
    <cfRule type="cellIs" dxfId="16" priority="1" operator="lessThan">
      <formula>0</formula>
    </cfRule>
  </conditionalFormatting>
  <conditionalFormatting sqref="L4:O4 I4:I5 N5:O7">
    <cfRule type="cellIs" dxfId="15" priority="8" operator="greaterThan">
      <formula>0</formula>
    </cfRule>
    <cfRule type="cellIs" dxfId="14" priority="9" operator="lessThan">
      <formula>0</formula>
    </cfRule>
  </conditionalFormatting>
  <conditionalFormatting sqref="N16:O16">
    <cfRule type="cellIs" dxfId="13" priority="5" operator="lessThan">
      <formula>0</formula>
    </cfRule>
  </conditionalFormatting>
  <conditionalFormatting sqref="O9">
    <cfRule type="cellIs" dxfId="12" priority="2" operator="greaterThan">
      <formula>0</formula>
    </cfRule>
    <cfRule type="cellIs" dxfId="11" priority="3" operator="lessThan">
      <formula>0</formula>
    </cfRule>
  </conditionalFormatting>
  <conditionalFormatting sqref="P11">
    <cfRule type="cellIs" dxfId="10" priority="7" operator="lessThan">
      <formula>0</formula>
    </cfRule>
  </conditionalFormatting>
  <conditionalFormatting sqref="P12:Q12">
    <cfRule type="cellIs" dxfId="9" priority="6" operator="lessThan">
      <formula>0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2980-2EF7-45A6-93E7-209CAB52CE68}">
  <dimension ref="A1:T28"/>
  <sheetViews>
    <sheetView showGridLines="0" tabSelected="1" topLeftCell="A2" zoomScaleNormal="100" workbookViewId="0">
      <selection activeCell="C19" sqref="C19"/>
    </sheetView>
  </sheetViews>
  <sheetFormatPr baseColWidth="10" defaultColWidth="10.453125" defaultRowHeight="15" outlineLevelCol="1" x14ac:dyDescent="0.5"/>
  <cols>
    <col min="1" max="1" width="3.453125" style="4" customWidth="1"/>
    <col min="2" max="2" width="34.7265625" style="4" customWidth="1"/>
    <col min="3" max="3" width="10" style="4" bestFit="1" customWidth="1"/>
    <col min="4" max="4" width="11.7265625" style="4" bestFit="1" customWidth="1"/>
    <col min="5" max="5" width="16.54296875" style="4" customWidth="1"/>
    <col min="6" max="6" width="9.453125" style="4" customWidth="1"/>
    <col min="7" max="7" width="13.26953125" style="4" bestFit="1" customWidth="1"/>
    <col min="8" max="8" width="14.7265625" style="4" bestFit="1" customWidth="1"/>
    <col min="9" max="10" width="10.1796875" style="4" customWidth="1"/>
    <col min="11" max="11" width="16.26953125" style="4" customWidth="1"/>
    <col min="12" max="12" width="16.26953125" style="4" customWidth="1" outlineLevel="1"/>
    <col min="13" max="13" width="16.1796875" style="4" bestFit="1" customWidth="1" outlineLevel="1"/>
    <col min="14" max="14" width="17.1796875" style="4" customWidth="1" outlineLevel="1"/>
    <col min="15" max="15" width="21.81640625" style="4" customWidth="1" outlineLevel="1"/>
    <col min="16" max="16" width="12.54296875" style="4" bestFit="1" customWidth="1" outlineLevel="1"/>
    <col min="17" max="17" width="9.453125" style="4" bestFit="1" customWidth="1" outlineLevel="1"/>
    <col min="18" max="18" width="22" style="4" bestFit="1" customWidth="1" outlineLevel="1"/>
    <col min="19" max="20" width="14.1796875" style="4" customWidth="1" outlineLevel="1"/>
    <col min="21" max="16384" width="10.453125" style="4"/>
  </cols>
  <sheetData>
    <row r="1" spans="1:17" ht="20.25" customHeight="1" x14ac:dyDescent="0.5">
      <c r="L1" s="150" t="s">
        <v>21</v>
      </c>
      <c r="M1" s="150" t="s">
        <v>30</v>
      </c>
      <c r="N1" s="152" t="s">
        <v>34</v>
      </c>
      <c r="O1" s="154" t="s">
        <v>35</v>
      </c>
    </row>
    <row r="2" spans="1:17" ht="48" customHeight="1" thickBot="1" x14ac:dyDescent="1.05">
      <c r="A2" s="127"/>
      <c r="B2" s="128" t="s">
        <v>26</v>
      </c>
      <c r="C2" s="129"/>
      <c r="D2" s="129"/>
      <c r="E2" s="129"/>
      <c r="I2" s="7"/>
      <c r="J2" s="7"/>
      <c r="L2" s="151"/>
      <c r="M2" s="151"/>
      <c r="N2" s="153"/>
      <c r="O2" s="155"/>
      <c r="P2" s="126"/>
      <c r="Q2" s="126"/>
    </row>
    <row r="3" spans="1:17" ht="40" customHeight="1" thickBot="1" x14ac:dyDescent="0.55000000000000004">
      <c r="A3" s="127"/>
      <c r="B3" s="9"/>
      <c r="C3" s="139" t="s">
        <v>27</v>
      </c>
      <c r="D3" s="140"/>
      <c r="E3" s="141"/>
      <c r="I3" s="142" t="s">
        <v>36</v>
      </c>
      <c r="J3" s="143"/>
      <c r="L3" s="5"/>
      <c r="M3" s="5"/>
      <c r="N3" s="5" t="s">
        <v>20</v>
      </c>
      <c r="O3" s="5" t="s">
        <v>20</v>
      </c>
      <c r="P3" s="8"/>
      <c r="Q3" s="8"/>
    </row>
    <row r="4" spans="1:17" ht="30.5" thickBot="1" x14ac:dyDescent="0.55000000000000004">
      <c r="A4" s="127"/>
      <c r="B4" s="10"/>
      <c r="C4" s="11" t="s">
        <v>0</v>
      </c>
      <c r="D4" s="12" t="s">
        <v>1</v>
      </c>
      <c r="E4" s="13" t="s">
        <v>28</v>
      </c>
      <c r="G4" s="14"/>
      <c r="H4" s="14"/>
      <c r="I4" s="144" t="s">
        <v>37</v>
      </c>
      <c r="J4" s="145"/>
      <c r="L4" s="52" t="s">
        <v>3</v>
      </c>
      <c r="M4" s="16" t="s">
        <v>3</v>
      </c>
      <c r="N4" s="15" t="s">
        <v>3</v>
      </c>
      <c r="O4" s="15" t="s">
        <v>3</v>
      </c>
      <c r="P4" s="126"/>
      <c r="Q4" s="126"/>
    </row>
    <row r="5" spans="1:17" s="23" customFormat="1" ht="33" customHeight="1" thickBot="1" x14ac:dyDescent="0.55000000000000004">
      <c r="A5" s="127"/>
      <c r="B5" s="17" t="s">
        <v>25</v>
      </c>
      <c r="C5" s="85">
        <v>400000</v>
      </c>
      <c r="D5" s="18"/>
      <c r="E5" s="19">
        <f>C5*D5/100</f>
        <v>0</v>
      </c>
      <c r="F5" s="20"/>
      <c r="G5" s="135" t="s">
        <v>31</v>
      </c>
      <c r="H5" s="136"/>
      <c r="I5" s="137">
        <f>N8</f>
        <v>-115200</v>
      </c>
      <c r="J5" s="138"/>
      <c r="K5" s="4"/>
      <c r="L5" s="53">
        <f>(C5-E5)*C13/100</f>
        <v>24000</v>
      </c>
      <c r="M5" s="22">
        <f>E5*C14/100</f>
        <v>0</v>
      </c>
      <c r="N5" s="21">
        <f>C6*-C12/100</f>
        <v>-120000</v>
      </c>
      <c r="O5" s="21">
        <f>((C6-E6)*-C12/100)-(E6*C14/100)</f>
        <v>-112000</v>
      </c>
      <c r="P5" s="124" t="s">
        <v>4</v>
      </c>
      <c r="Q5" s="125"/>
    </row>
    <row r="6" spans="1:17" ht="33" customHeight="1" thickBot="1" x14ac:dyDescent="0.55000000000000004">
      <c r="A6" s="127"/>
      <c r="B6" s="24" t="s">
        <v>5</v>
      </c>
      <c r="C6" s="86">
        <v>1000000</v>
      </c>
      <c r="D6" s="18">
        <v>40</v>
      </c>
      <c r="E6" s="25">
        <f>(C6)*D6/100</f>
        <v>400000</v>
      </c>
      <c r="F6" s="26"/>
      <c r="G6" s="130" t="s">
        <v>32</v>
      </c>
      <c r="H6" s="131"/>
      <c r="I6" s="132">
        <f>O8</f>
        <v>-110436</v>
      </c>
      <c r="J6" s="133"/>
      <c r="L6" s="48"/>
      <c r="M6" s="49"/>
      <c r="N6" s="27">
        <f>C5*C13/100</f>
        <v>24000</v>
      </c>
      <c r="O6" s="27">
        <f>L5+M5</f>
        <v>24000</v>
      </c>
      <c r="P6" s="146" t="s">
        <v>6</v>
      </c>
      <c r="Q6" s="147"/>
    </row>
    <row r="7" spans="1:17" ht="22" customHeight="1" thickBot="1" x14ac:dyDescent="0.55000000000000004">
      <c r="A7" s="127"/>
      <c r="B7" s="28"/>
      <c r="C7" s="29"/>
      <c r="D7" s="1"/>
      <c r="E7" s="30">
        <f>SUM(E5:E6)</f>
        <v>400000</v>
      </c>
      <c r="F7" s="31"/>
      <c r="G7" s="148" t="s">
        <v>22</v>
      </c>
      <c r="H7" s="149"/>
      <c r="I7" s="114">
        <f>I6-I5</f>
        <v>4764</v>
      </c>
      <c r="J7" s="115"/>
      <c r="L7" s="50"/>
      <c r="M7" s="51"/>
      <c r="N7" s="21">
        <f>(N5+N6)*1.2</f>
        <v>-115200</v>
      </c>
      <c r="O7" s="21">
        <f>(O5+O6)*1.2</f>
        <v>-105600</v>
      </c>
      <c r="P7" s="116" t="s">
        <v>39</v>
      </c>
      <c r="Q7" s="117"/>
    </row>
    <row r="8" spans="1:17" ht="12" customHeight="1" thickBot="1" x14ac:dyDescent="0.55000000000000004">
      <c r="A8" s="127"/>
      <c r="B8" s="2"/>
      <c r="C8" s="2"/>
      <c r="D8" s="2"/>
      <c r="E8" s="32" t="s">
        <v>33</v>
      </c>
      <c r="F8" s="33"/>
      <c r="L8" s="34" t="s">
        <v>18</v>
      </c>
      <c r="M8" s="35">
        <f>O17</f>
        <v>4812</v>
      </c>
      <c r="N8" s="118">
        <f>N7</f>
        <v>-115200</v>
      </c>
      <c r="O8" s="118">
        <f>O7-M8-M9</f>
        <v>-110436</v>
      </c>
      <c r="P8" s="120" t="s">
        <v>38</v>
      </c>
      <c r="Q8" s="121"/>
    </row>
    <row r="9" spans="1:17" ht="20.149999999999999" customHeight="1" thickBot="1" x14ac:dyDescent="0.55000000000000004">
      <c r="A9" s="127"/>
      <c r="B9" s="36" t="s">
        <v>29</v>
      </c>
      <c r="E9" s="37"/>
      <c r="G9" s="47"/>
      <c r="H9" s="123"/>
      <c r="I9" s="123"/>
      <c r="J9" s="123"/>
      <c r="L9" s="38" t="s">
        <v>19</v>
      </c>
      <c r="M9" s="39">
        <f>VLOOKUP(C17,P14:Q19,2)*4*C18</f>
        <v>24</v>
      </c>
      <c r="N9" s="119"/>
      <c r="O9" s="119"/>
      <c r="P9" s="122"/>
      <c r="Q9" s="121"/>
    </row>
    <row r="10" spans="1:17" ht="29.15" customHeight="1" thickBot="1" x14ac:dyDescent="0.55000000000000004">
      <c r="A10" s="127"/>
      <c r="B10" s="40"/>
      <c r="C10" s="40"/>
      <c r="D10" s="40"/>
      <c r="E10" s="40"/>
      <c r="F10" s="41"/>
      <c r="G10" s="134"/>
      <c r="H10" s="134"/>
      <c r="I10" s="134"/>
      <c r="J10" s="134"/>
      <c r="L10" s="6"/>
      <c r="M10" s="6"/>
      <c r="N10" s="6"/>
      <c r="O10" s="84">
        <f>O8-N8</f>
        <v>4764</v>
      </c>
      <c r="P10" s="100" t="s">
        <v>40</v>
      </c>
      <c r="Q10" s="101"/>
    </row>
    <row r="11" spans="1:17" ht="17.149999999999999" customHeight="1" thickBot="1" x14ac:dyDescent="0.55000000000000004">
      <c r="A11" s="127"/>
      <c r="B11" s="95" t="s">
        <v>7</v>
      </c>
      <c r="C11" s="94" t="s">
        <v>2</v>
      </c>
      <c r="F11" s="54"/>
      <c r="G11" s="55"/>
      <c r="H11" s="55"/>
      <c r="I11" s="56"/>
      <c r="J11" s="57"/>
    </row>
    <row r="12" spans="1:17" ht="19.5" customHeight="1" thickBot="1" x14ac:dyDescent="0.55000000000000004">
      <c r="A12" s="127"/>
      <c r="B12" s="3" t="s">
        <v>24</v>
      </c>
      <c r="C12" s="42">
        <v>12</v>
      </c>
      <c r="F12" s="58" t="s">
        <v>8</v>
      </c>
      <c r="G12" s="59"/>
      <c r="H12" s="43"/>
      <c r="I12" s="102" t="s">
        <v>9</v>
      </c>
      <c r="J12" s="103"/>
      <c r="L12" s="104" t="s">
        <v>11</v>
      </c>
      <c r="M12" s="105"/>
      <c r="N12" s="105"/>
      <c r="O12" s="105"/>
      <c r="P12" s="106" t="s">
        <v>15</v>
      </c>
      <c r="Q12" s="107"/>
    </row>
    <row r="13" spans="1:17" ht="19.5" customHeight="1" thickBot="1" x14ac:dyDescent="0.55000000000000004">
      <c r="A13" s="127"/>
      <c r="B13" s="3" t="s">
        <v>10</v>
      </c>
      <c r="C13" s="42">
        <v>6</v>
      </c>
      <c r="F13" s="108" t="s">
        <v>42</v>
      </c>
      <c r="G13" s="109"/>
      <c r="H13" s="109"/>
      <c r="I13" s="109"/>
      <c r="J13" s="110"/>
      <c r="L13" s="60" t="s">
        <v>12</v>
      </c>
      <c r="M13" s="61" t="s">
        <v>13</v>
      </c>
      <c r="N13" s="69" t="s">
        <v>2</v>
      </c>
      <c r="O13" s="61" t="s">
        <v>4</v>
      </c>
      <c r="P13" s="76" t="s">
        <v>16</v>
      </c>
      <c r="Q13" s="77" t="s">
        <v>17</v>
      </c>
    </row>
    <row r="14" spans="1:17" ht="19.5" customHeight="1" thickBot="1" x14ac:dyDescent="0.55000000000000004">
      <c r="A14" s="127"/>
      <c r="B14" s="98" t="s">
        <v>23</v>
      </c>
      <c r="C14" s="99">
        <v>10</v>
      </c>
      <c r="F14" s="108"/>
      <c r="G14" s="109"/>
      <c r="H14" s="109"/>
      <c r="I14" s="109"/>
      <c r="J14" s="110"/>
      <c r="L14" s="62">
        <v>1</v>
      </c>
      <c r="M14" s="65">
        <v>500</v>
      </c>
      <c r="N14" s="70">
        <v>2.4E-2</v>
      </c>
      <c r="O14" s="73">
        <f>IF(L14&lt;=$E$7,MIN($E$7-N(M13),M14-N(M13))*N14,0)</f>
        <v>12</v>
      </c>
      <c r="P14" s="78">
        <v>10</v>
      </c>
      <c r="Q14" s="79">
        <v>7.5</v>
      </c>
    </row>
    <row r="15" spans="1:17" ht="19.5" customHeight="1" thickBot="1" x14ac:dyDescent="0.55000000000000004">
      <c r="A15" s="127"/>
      <c r="B15" s="96"/>
      <c r="C15" s="97"/>
      <c r="F15" s="108"/>
      <c r="G15" s="109"/>
      <c r="H15" s="109"/>
      <c r="I15" s="109"/>
      <c r="J15" s="110"/>
      <c r="L15" s="63">
        <v>501</v>
      </c>
      <c r="M15" s="66">
        <v>1500</v>
      </c>
      <c r="N15" s="71">
        <v>1.7999999999999999E-2</v>
      </c>
      <c r="O15" s="74">
        <f>IF(L15&lt;=$E$7,MIN($E$7-N(M14),M15-N(M14))*N15,0)</f>
        <v>18</v>
      </c>
      <c r="P15" s="78">
        <v>20</v>
      </c>
      <c r="Q15" s="79">
        <v>6.5</v>
      </c>
    </row>
    <row r="16" spans="1:17" ht="19.5" customHeight="1" thickBot="1" x14ac:dyDescent="0.55000000000000004">
      <c r="A16" s="127"/>
      <c r="B16" s="95" t="s">
        <v>46</v>
      </c>
      <c r="C16" s="94" t="s">
        <v>45</v>
      </c>
      <c r="D16" s="127"/>
      <c r="E16" s="127"/>
      <c r="F16" s="108"/>
      <c r="G16" s="109"/>
      <c r="H16" s="109"/>
      <c r="I16" s="109"/>
      <c r="J16" s="110"/>
      <c r="L16" s="63">
        <v>1501</v>
      </c>
      <c r="M16" s="67">
        <v>10000000</v>
      </c>
      <c r="N16" s="71">
        <v>1.2E-2</v>
      </c>
      <c r="O16" s="74">
        <f>IF(L16&lt;=$E$7,MIN($E$7-N(M15),M16-N(M15))*N16,0)</f>
        <v>4782</v>
      </c>
      <c r="P16" s="78">
        <v>30</v>
      </c>
      <c r="Q16" s="79">
        <v>5</v>
      </c>
    </row>
    <row r="17" spans="1:17" ht="19.5" customHeight="1" thickBot="1" x14ac:dyDescent="0.55000000000000004">
      <c r="A17" s="127"/>
      <c r="B17" s="93" t="s">
        <v>44</v>
      </c>
      <c r="C17" s="44">
        <v>100</v>
      </c>
      <c r="F17" s="108"/>
      <c r="G17" s="109"/>
      <c r="H17" s="109"/>
      <c r="I17" s="109"/>
      <c r="J17" s="110"/>
      <c r="L17" s="64"/>
      <c r="M17" s="68"/>
      <c r="N17" s="72" t="s">
        <v>14</v>
      </c>
      <c r="O17" s="75">
        <f>SUM(O14:O16)</f>
        <v>4812</v>
      </c>
      <c r="P17" s="78">
        <v>40</v>
      </c>
      <c r="Q17" s="79">
        <v>4</v>
      </c>
    </row>
    <row r="18" spans="1:17" ht="19.5" customHeight="1" thickBot="1" x14ac:dyDescent="0.55000000000000004">
      <c r="A18" s="127"/>
      <c r="B18" s="92" t="s">
        <v>43</v>
      </c>
      <c r="C18" s="44">
        <v>2</v>
      </c>
      <c r="F18" s="111"/>
      <c r="G18" s="112"/>
      <c r="H18" s="112"/>
      <c r="I18" s="112"/>
      <c r="J18" s="113"/>
      <c r="L18" s="45"/>
      <c r="M18" s="45"/>
      <c r="N18" s="45"/>
      <c r="O18" s="45"/>
      <c r="P18" s="80">
        <v>50</v>
      </c>
      <c r="Q18" s="81">
        <v>3.5</v>
      </c>
    </row>
    <row r="19" spans="1:17" ht="19.5" customHeight="1" thickBot="1" x14ac:dyDescent="0.55000000000000004">
      <c r="A19" s="127"/>
      <c r="F19" s="156" t="s">
        <v>47</v>
      </c>
      <c r="G19" s="156"/>
      <c r="H19" s="156"/>
      <c r="I19" s="156"/>
      <c r="J19" s="156"/>
      <c r="K19" s="45"/>
      <c r="N19" s="46"/>
      <c r="O19" s="45"/>
      <c r="P19" s="82">
        <v>100</v>
      </c>
      <c r="Q19" s="83">
        <v>3</v>
      </c>
    </row>
    <row r="20" spans="1:17" ht="19.5" customHeight="1" x14ac:dyDescent="0.5">
      <c r="A20" s="127"/>
    </row>
    <row r="21" spans="1:17" ht="18" customHeight="1" x14ac:dyDescent="0.5">
      <c r="A21" s="127"/>
    </row>
    <row r="22" spans="1:17" ht="18" customHeight="1" x14ac:dyDescent="0.5">
      <c r="A22" s="127"/>
    </row>
    <row r="23" spans="1:17" ht="18" customHeight="1" x14ac:dyDescent="0.5">
      <c r="A23" s="127"/>
    </row>
    <row r="24" spans="1:17" ht="18" customHeight="1" x14ac:dyDescent="0.5">
      <c r="A24" s="127"/>
    </row>
    <row r="25" spans="1:17" ht="18" customHeight="1" x14ac:dyDescent="0.5">
      <c r="A25" s="127"/>
    </row>
    <row r="26" spans="1:17" ht="18" customHeight="1" x14ac:dyDescent="0.5">
      <c r="A26" s="127"/>
    </row>
    <row r="27" spans="1:17" ht="18" customHeight="1" x14ac:dyDescent="0.5">
      <c r="A27" s="127"/>
    </row>
    <row r="28" spans="1:17" x14ac:dyDescent="0.5">
      <c r="B28" s="6"/>
    </row>
  </sheetData>
  <sheetProtection algorithmName="SHA-512" hashValue="LeieQA2G5fjjYqiQ6Eem5e3/SqkJF906KAH1FhGJSi2D/q2yDOno+RkRIxLkAp4qXaXQCfTejnCCnTnAL+umWA==" saltValue="ikT8GiU2lY8oikfWnucyIw==" spinCount="100000" sheet="1" objects="1" scenarios="1"/>
  <mergeCells count="32">
    <mergeCell ref="A2:A27"/>
    <mergeCell ref="B2:E2"/>
    <mergeCell ref="G6:H6"/>
    <mergeCell ref="D16:E16"/>
    <mergeCell ref="H9:J9"/>
    <mergeCell ref="I4:J4"/>
    <mergeCell ref="I5:J5"/>
    <mergeCell ref="I6:J6"/>
    <mergeCell ref="I7:J7"/>
    <mergeCell ref="F19:J19"/>
    <mergeCell ref="F13:J18"/>
    <mergeCell ref="P2:Q2"/>
    <mergeCell ref="C3:E3"/>
    <mergeCell ref="I3:J3"/>
    <mergeCell ref="P4:Q4"/>
    <mergeCell ref="G5:H5"/>
    <mergeCell ref="P5:Q5"/>
    <mergeCell ref="L1:L2"/>
    <mergeCell ref="M1:M2"/>
    <mergeCell ref="N1:N2"/>
    <mergeCell ref="O1:O2"/>
    <mergeCell ref="P10:Q10"/>
    <mergeCell ref="L12:O12"/>
    <mergeCell ref="P6:Q6"/>
    <mergeCell ref="G7:H7"/>
    <mergeCell ref="P7:Q7"/>
    <mergeCell ref="O8:O9"/>
    <mergeCell ref="P8:Q9"/>
    <mergeCell ref="I12:J12"/>
    <mergeCell ref="G10:J10"/>
    <mergeCell ref="P12:Q12"/>
    <mergeCell ref="N8:N9"/>
  </mergeCells>
  <conditionalFormatting sqref="G9:H9 P10">
    <cfRule type="cellIs" dxfId="8" priority="4" operator="lessThan">
      <formula>0</formula>
    </cfRule>
  </conditionalFormatting>
  <conditionalFormatting sqref="I7">
    <cfRule type="cellIs" dxfId="7" priority="1" operator="lessThan">
      <formula>0</formula>
    </cfRule>
  </conditionalFormatting>
  <conditionalFormatting sqref="L5:O5 I5:I6 N6:O8">
    <cfRule type="cellIs" dxfId="6" priority="11" operator="greaterThan">
      <formula>0</formula>
    </cfRule>
    <cfRule type="cellIs" dxfId="5" priority="12" operator="lessThan">
      <formula>0</formula>
    </cfRule>
  </conditionalFormatting>
  <conditionalFormatting sqref="N17:O17">
    <cfRule type="cellIs" dxfId="4" priority="5" operator="lessThan">
      <formula>0</formula>
    </cfRule>
  </conditionalFormatting>
  <conditionalFormatting sqref="O10">
    <cfRule type="cellIs" dxfId="3" priority="2" operator="greaterThan">
      <formula>0</formula>
    </cfRule>
    <cfRule type="cellIs" dxfId="2" priority="3" operator="lessThan">
      <formula>0</formula>
    </cfRule>
  </conditionalFormatting>
  <conditionalFormatting sqref="P12">
    <cfRule type="cellIs" dxfId="1" priority="7" operator="lessThan">
      <formula>0</formula>
    </cfRule>
  </conditionalFormatting>
  <conditionalFormatting sqref="P13:Q13">
    <cfRule type="cellIs" dxfId="0" priority="6" operator="lessThan">
      <formula>0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B78947F274584DAEA43C7ADA6E7636" ma:contentTypeVersion="19" ma:contentTypeDescription="Create a new document." ma:contentTypeScope="" ma:versionID="981facb23fb93f798a8fcb3deba54090">
  <xsd:schema xmlns:xsd="http://www.w3.org/2001/XMLSchema" xmlns:xs="http://www.w3.org/2001/XMLSchema" xmlns:p="http://schemas.microsoft.com/office/2006/metadata/properties" xmlns:ns2="c34c2743-258f-44a3-8d49-84205cb5a5cb" xmlns:ns3="3b0e6e6b-f86b-488d-8017-ba40a91247ec" targetNamespace="http://schemas.microsoft.com/office/2006/metadata/properties" ma:root="true" ma:fieldsID="2c520db6ab407097ceb45bbde14dab35" ns2:_="" ns3:_="">
    <xsd:import namespace="c34c2743-258f-44a3-8d49-84205cb5a5cb"/>
    <xsd:import namespace="3b0e6e6b-f86b-488d-8017-ba40a91247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c2743-258f-44a3-8d49-84205cb5a5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description="" ma:hidden="true" ma:list="{bddddda4-c1aa-450a-ae22-b4823b615a95}" ma:internalName="TaxCatchAll" ma:showField="CatchAllData" ma:web="c34c2743-258f-44a3-8d49-84205cb5a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e6e6b-f86b-488d-8017-ba40a9124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e72187a-74fa-472b-8043-615bde5e9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0e6e6b-f86b-488d-8017-ba40a91247ec">
      <Terms xmlns="http://schemas.microsoft.com/office/infopath/2007/PartnerControls"/>
    </lcf76f155ced4ddcb4097134ff3c332f>
    <_Flow_SignoffStatus xmlns="3b0e6e6b-f86b-488d-8017-ba40a91247ec" xsi:nil="true"/>
    <TaxCatchAll xmlns="c34c2743-258f-44a3-8d49-84205cb5a5cb" xsi:nil="true"/>
  </documentManagement>
</p:properties>
</file>

<file path=customXml/itemProps1.xml><?xml version="1.0" encoding="utf-8"?>
<ds:datastoreItem xmlns:ds="http://schemas.openxmlformats.org/officeDocument/2006/customXml" ds:itemID="{9CA3857F-5AFA-462C-8F68-396BD43F96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9A2ABA-66FD-4800-981D-57E0BFAB2CEF}"/>
</file>

<file path=customXml/itemProps3.xml><?xml version="1.0" encoding="utf-8"?>
<ds:datastoreItem xmlns:ds="http://schemas.openxmlformats.org/officeDocument/2006/customXml" ds:itemID="{7558C8BE-CBA9-4F59-AA95-DCA69E7BAE5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Kompakt</vt:lpstr>
      <vt:lpstr>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Markus Lafer</dc:creator>
  <cp:keywords/>
  <dc:description/>
  <cp:lastModifiedBy>Dario Tomic</cp:lastModifiedBy>
  <cp:revision/>
  <dcterms:created xsi:type="dcterms:W3CDTF">2023-05-18T03:21:04Z</dcterms:created>
  <dcterms:modified xsi:type="dcterms:W3CDTF">2024-10-22T08:37:13Z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0x01010096B78947F274584DAEA43C7ADA6E7636</vt:lpwstr>
  </property>
</Properties>
</file>